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0672" documentId="14_{1789F6B0-7FB8-4847-B75E-E896EB9CD7ED}" xr6:coauthVersionLast="47" xr6:coauthVersionMax="47" xr10:uidLastSave="{3972E170-4104-48C6-9BC2-2152F53E2F1F}"/>
  <bookViews>
    <workbookView xWindow="-120" yWindow="-120" windowWidth="38640" windowHeight="21120" tabRatio="719" activeTab="9"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Autonomie 2023 LDV" sheetId="19" r:id="rId21"/>
    <sheet name="Autonomie 2023 MHDV" sheetId="23" r:id="rId22"/>
    <sheet name="GHGenius502b Data" sheetId="38" r:id="rId23"/>
    <sheet name="GREET-AFLEET Data" sheetId="13" r:id="rId24"/>
    <sheet name="OEO &amp; EPAUS9rT Data" sheetId="25" r:id="rId25"/>
    <sheet name="AEO-LDV Data" sheetId="15" r:id="rId26"/>
    <sheet name="H2 Data" sheetId="41" r:id="rId27"/>
    <sheet name="Conversion Factors" sheetId="12" r:id="rId28"/>
    <sheet name="Assumptions" sheetId="39" r:id="rId29"/>
    <sheet name="References" sheetId="2" r:id="rId30"/>
  </sheets>
  <definedNames>
    <definedName name="_xlnm._FilterDatabase" localSheetId="20" hidden="1">'Autonomie 2023 LDV'!$A$2:$AF$277</definedName>
    <definedName name="_xlnm._FilterDatabase" localSheetId="21"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3" i="27" l="1"/>
  <c r="E17" i="27"/>
  <c r="O4" i="30"/>
  <c r="N4" i="30"/>
  <c r="M4" i="30"/>
  <c r="L4" i="30"/>
  <c r="K4" i="30"/>
  <c r="O3" i="30"/>
  <c r="N3" i="30"/>
  <c r="M3" i="30"/>
  <c r="L3" i="30"/>
  <c r="K3" i="30"/>
  <c r="J4" i="30"/>
  <c r="J3" i="30"/>
  <c r="BB32" i="30"/>
  <c r="BA32" i="30"/>
  <c r="AZ32" i="30"/>
  <c r="AY32" i="30"/>
  <c r="AX32" i="30"/>
  <c r="AW32" i="30"/>
  <c r="AQ34" i="30"/>
  <c r="AP34" i="30"/>
  <c r="AO34" i="30"/>
  <c r="AN34" i="30"/>
  <c r="AM34" i="30"/>
  <c r="AL34" i="30"/>
  <c r="AK34" i="30"/>
  <c r="AJ34" i="30"/>
  <c r="AI34" i="30"/>
  <c r="BB31" i="30"/>
  <c r="BA31" i="30"/>
  <c r="AZ31" i="30"/>
  <c r="AY31" i="30"/>
  <c r="AX31" i="30"/>
  <c r="AW31" i="30"/>
  <c r="AI92" i="30"/>
  <c r="AJ92" i="30" s="1"/>
  <c r="AK92" i="30" s="1"/>
  <c r="AL92" i="30" s="1"/>
  <c r="AM92" i="30" s="1"/>
  <c r="AN92" i="30" s="1"/>
  <c r="AO92" i="30" s="1"/>
  <c r="AP92" i="30" s="1"/>
  <c r="AQ92" i="30" s="1"/>
  <c r="AR92" i="30" s="1"/>
  <c r="AS92" i="30" s="1"/>
  <c r="AT92" i="30" s="1"/>
  <c r="AU92" i="30" s="1"/>
  <c r="AV92" i="30" s="1"/>
  <c r="AW92" i="30" s="1"/>
  <c r="AX92" i="30" s="1"/>
  <c r="AY92" i="30" s="1"/>
  <c r="AZ92" i="30" s="1"/>
  <c r="BA92" i="30" s="1"/>
  <c r="BB92" i="30" s="1"/>
  <c r="BC92" i="30" s="1"/>
  <c r="BD92" i="30" s="1"/>
  <c r="BE92" i="30" s="1"/>
  <c r="BF92" i="30" s="1"/>
  <c r="BG92" i="30" s="1"/>
  <c r="AI91" i="30"/>
  <c r="AJ91" i="30" s="1"/>
  <c r="AK91" i="30" s="1"/>
  <c r="AL91" i="30" s="1"/>
  <c r="AM91" i="30" s="1"/>
  <c r="AN91" i="30" s="1"/>
  <c r="AO91" i="30" s="1"/>
  <c r="AP91" i="30" s="1"/>
  <c r="AQ91" i="30" s="1"/>
  <c r="AR91" i="30" s="1"/>
  <c r="AS91" i="30" s="1"/>
  <c r="AT91" i="30" s="1"/>
  <c r="AU91" i="30" s="1"/>
  <c r="AV91" i="30" s="1"/>
  <c r="AW91" i="30" s="1"/>
  <c r="AX91" i="30" s="1"/>
  <c r="AY91" i="30" s="1"/>
  <c r="AZ91" i="30" s="1"/>
  <c r="BA91" i="30" s="1"/>
  <c r="BB91" i="30" s="1"/>
  <c r="BC91" i="30" s="1"/>
  <c r="BD91" i="30" s="1"/>
  <c r="BE91" i="30" s="1"/>
  <c r="BF91" i="30" s="1"/>
  <c r="BG91" i="30" s="1"/>
  <c r="AI90" i="30"/>
  <c r="AJ90" i="30" s="1"/>
  <c r="AK90" i="30" s="1"/>
  <c r="AL90" i="30" s="1"/>
  <c r="AM90" i="30" s="1"/>
  <c r="AN90" i="30" s="1"/>
  <c r="AO90" i="30" s="1"/>
  <c r="AP90" i="30" s="1"/>
  <c r="AQ90" i="30" s="1"/>
  <c r="AR90" i="30" s="1"/>
  <c r="AS90" i="30" s="1"/>
  <c r="AT90" i="30" s="1"/>
  <c r="AU90" i="30" s="1"/>
  <c r="AV90" i="30" s="1"/>
  <c r="AW90" i="30" s="1"/>
  <c r="AX90" i="30" s="1"/>
  <c r="AY90" i="30" s="1"/>
  <c r="AZ90" i="30" s="1"/>
  <c r="BA90" i="30" s="1"/>
  <c r="BB90" i="30" s="1"/>
  <c r="BC90" i="30" s="1"/>
  <c r="BD90" i="30" s="1"/>
  <c r="BE90" i="30" s="1"/>
  <c r="BF90" i="30" s="1"/>
  <c r="BG90" i="30" s="1"/>
  <c r="BE60" i="30"/>
  <c r="BE62" i="30"/>
  <c r="BE61" i="30"/>
  <c r="AT3" i="26"/>
  <c r="AR40" i="20"/>
  <c r="AQ40" i="20"/>
  <c r="AP40" i="20"/>
  <c r="AO40" i="20"/>
  <c r="AN40" i="20"/>
  <c r="AM40" i="20"/>
  <c r="AR39" i="20"/>
  <c r="AQ39" i="20"/>
  <c r="AP39" i="20"/>
  <c r="AO39" i="20"/>
  <c r="AN39" i="20"/>
  <c r="AM39" i="20"/>
  <c r="AR38" i="20"/>
  <c r="AQ38" i="20"/>
  <c r="AP38" i="20"/>
  <c r="AO38" i="20"/>
  <c r="AN38" i="20"/>
  <c r="AM38" i="20"/>
  <c r="AR37" i="20"/>
  <c r="AQ37" i="20"/>
  <c r="AP37" i="20"/>
  <c r="AO37" i="20"/>
  <c r="AN37" i="20"/>
  <c r="AM37" i="20"/>
  <c r="AR36" i="20"/>
  <c r="AQ36" i="20"/>
  <c r="AP36" i="20"/>
  <c r="AO36" i="20"/>
  <c r="AN36" i="20"/>
  <c r="AM36" i="20"/>
  <c r="AL40" i="20"/>
  <c r="AL39" i="20"/>
  <c r="AL38" i="20"/>
  <c r="AL37" i="20"/>
  <c r="AL36" i="20"/>
  <c r="AL34" i="20"/>
  <c r="AL143" i="24"/>
  <c r="AL142" i="24"/>
  <c r="AL141" i="24"/>
  <c r="AL140" i="24"/>
  <c r="AL139" i="24"/>
  <c r="AL138" i="24"/>
  <c r="AL137" i="24"/>
  <c r="AL136" i="24"/>
  <c r="AL126" i="24"/>
  <c r="AL127" i="24"/>
  <c r="AL128" i="24"/>
  <c r="AL129" i="24"/>
  <c r="AL130" i="24"/>
  <c r="AL131" i="24"/>
  <c r="AL134" i="24"/>
  <c r="AL133" i="24"/>
  <c r="BV55" i="16"/>
  <c r="BV42" i="16"/>
  <c r="AU13" i="20"/>
  <c r="AU26" i="20"/>
  <c r="AW138" i="24"/>
  <c r="AW137" i="24"/>
  <c r="AW135" i="24"/>
  <c r="AW134" i="24"/>
  <c r="AW132" i="24"/>
  <c r="AW131" i="24"/>
  <c r="AW129" i="24"/>
  <c r="AW128" i="24"/>
  <c r="AW127" i="24"/>
  <c r="AW126" i="24"/>
  <c r="AS134" i="24"/>
  <c r="AS133" i="24"/>
  <c r="AS132" i="24"/>
  <c r="AS131" i="24"/>
  <c r="AS130" i="24"/>
  <c r="AS129" i="24"/>
  <c r="AS128" i="24"/>
  <c r="AS127" i="24"/>
  <c r="AS126" i="24"/>
  <c r="AS125" i="24"/>
  <c r="AB3" i="16"/>
  <c r="AC36" i="16" s="1"/>
  <c r="AA3" i="16"/>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BH91" i="30" l="1"/>
  <c r="BI91" i="30" s="1"/>
  <c r="BJ91" i="30" s="1"/>
  <c r="BK91" i="30" s="1"/>
  <c r="BL91" i="30" s="1"/>
  <c r="BM91" i="30" s="1"/>
  <c r="BN91" i="30" s="1"/>
  <c r="BH90" i="30"/>
  <c r="BI90" i="30" s="1"/>
  <c r="BJ90" i="30" s="1"/>
  <c r="BK90" i="30" s="1"/>
  <c r="BL90" i="30" s="1"/>
  <c r="BM90" i="30" s="1"/>
  <c r="BN90" i="30" s="1"/>
  <c r="BH92" i="30"/>
  <c r="BI92" i="30" s="1"/>
  <c r="BJ92" i="30" s="1"/>
  <c r="BK92" i="30" s="1"/>
  <c r="BL92" i="30" s="1"/>
  <c r="BM92" i="30" s="1"/>
  <c r="BN92" i="30" s="1"/>
  <c r="G101" i="43"/>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BN34" i="16" s="1"/>
  <c r="BN5" i="16" s="1"/>
  <c r="AN16" i="43"/>
  <c r="AN15" i="43"/>
  <c r="AN14" i="43"/>
  <c r="AN13" i="43"/>
  <c r="AN12" i="43"/>
  <c r="AN11" i="43"/>
  <c r="CR54" i="16" a="1"/>
  <c r="CR54" i="16" s="1"/>
  <c r="CH17" i="16" a="1"/>
  <c r="CH17" i="16" s="1"/>
  <c r="CH9" i="16" a="1"/>
  <c r="CH9" i="16" s="1"/>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H17" i="26"/>
  <c r="AG53" i="3"/>
  <c r="L18" i="26"/>
  <c r="K18" i="26"/>
  <c r="J18" i="26"/>
  <c r="I18" i="26"/>
  <c r="H18" i="26"/>
  <c r="F18" i="26"/>
  <c r="H3" i="26"/>
  <c r="I3" i="26"/>
  <c r="AI127" i="16"/>
  <c r="AH127" i="16"/>
  <c r="AG127" i="16"/>
  <c r="AF127" i="16"/>
  <c r="AE127" i="16"/>
  <c r="AD127" i="16"/>
  <c r="AC127" i="16"/>
  <c r="AI125" i="16"/>
  <c r="AH125" i="16"/>
  <c r="AG125" i="16"/>
  <c r="AF125" i="16"/>
  <c r="AE125" i="16"/>
  <c r="AD125" i="16"/>
  <c r="AC125" i="16"/>
  <c r="AJ11" i="43" l="1"/>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I66" i="26"/>
  <c r="F67" i="26"/>
  <c r="F64" i="26"/>
  <c r="J69" i="26"/>
  <c r="I69" i="26"/>
  <c r="H69" i="26"/>
  <c r="L68" i="26"/>
  <c r="K68" i="26"/>
  <c r="J68" i="26"/>
  <c r="I68" i="26"/>
  <c r="H68" i="26"/>
  <c r="K67" i="26"/>
  <c r="J67" i="26"/>
  <c r="I67" i="26"/>
  <c r="H67" i="26"/>
  <c r="L66" i="26"/>
  <c r="K66" i="26"/>
  <c r="J66" i="26"/>
  <c r="L65" i="26"/>
  <c r="K65" i="26"/>
  <c r="J65" i="26"/>
  <c r="I65" i="26"/>
  <c r="H65" i="26"/>
  <c r="L64" i="26"/>
  <c r="K64" i="26"/>
  <c r="J64" i="26"/>
  <c r="I64" i="26"/>
  <c r="H64" i="26"/>
  <c r="AG55" i="3"/>
  <c r="AG54" i="3"/>
  <c r="AG50" i="3"/>
  <c r="AG49" i="3"/>
  <c r="AG48" i="3"/>
  <c r="AG47" i="3"/>
  <c r="AG46" i="3"/>
  <c r="AG45" i="3"/>
  <c r="F16" i="31"/>
  <c r="F15" i="31"/>
  <c r="F14" i="31"/>
  <c r="F13" i="31"/>
  <c r="F12" i="31"/>
  <c r="F11" i="31"/>
  <c r="F10" i="31"/>
  <c r="G88" i="20"/>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L67" i="26"/>
  <c r="K69" i="26"/>
  <c r="L69" i="26"/>
  <c r="H66" i="26"/>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5" i="30"/>
  <c r="N5" i="30"/>
  <c r="M5" i="30"/>
  <c r="L5" i="30"/>
  <c r="K5" i="30"/>
  <c r="J5"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J11" i="26"/>
  <c r="L6" i="26"/>
  <c r="I5" i="26"/>
  <c r="K11" i="26"/>
  <c r="H7" i="26"/>
  <c r="G7" i="26" s="1"/>
  <c r="J5" i="26"/>
  <c r="L11" i="26"/>
  <c r="I7" i="26"/>
  <c r="K5" i="26"/>
  <c r="H8" i="26"/>
  <c r="J7" i="26"/>
  <c r="L5" i="26"/>
  <c r="K7" i="26"/>
  <c r="H6" i="26"/>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D9" i="24"/>
  <c r="BC9" i="24"/>
  <c r="BE21" i="24"/>
  <c r="BE26" i="24" s="1"/>
  <c r="BD21" i="24"/>
  <c r="BD26" i="24" s="1"/>
  <c r="BE15" i="24"/>
  <c r="BE20" i="24" s="1"/>
  <c r="BD15" i="24"/>
  <c r="BD20" i="24" s="1"/>
  <c r="BE3" i="24"/>
  <c r="BE8" i="24" s="1"/>
  <c r="AL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BD11" i="24" l="1"/>
  <c r="BD33" i="24"/>
  <c r="BE11" i="24"/>
  <c r="BE33" i="24"/>
  <c r="BC11" i="24"/>
  <c r="G69" i="26"/>
  <c r="G66" i="26"/>
  <c r="G65" i="26"/>
  <c r="G67" i="26"/>
  <c r="G64" i="26"/>
  <c r="G68" i="26"/>
  <c r="K42" i="26"/>
  <c r="J51" i="26"/>
  <c r="L62" i="26"/>
  <c r="L58" i="26"/>
  <c r="H55" i="26"/>
  <c r="I59" i="26"/>
  <c r="K52" i="26"/>
  <c r="H59" i="26"/>
  <c r="I55" i="26"/>
  <c r="K43" i="26"/>
  <c r="K47" i="26"/>
  <c r="J47" i="26"/>
  <c r="H57" i="26"/>
  <c r="H52" i="26"/>
  <c r="H61" i="26"/>
  <c r="K62" i="26"/>
  <c r="L54" i="26"/>
  <c r="J56" i="26"/>
  <c r="J46" i="26"/>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L61" i="24"/>
  <c r="AM61" i="24" s="1"/>
  <c r="G58" i="26"/>
  <c r="G56" i="26"/>
  <c r="G60" i="26"/>
  <c r="G57" i="26"/>
  <c r="G54" i="26"/>
  <c r="G52" i="26"/>
  <c r="G53" i="26"/>
  <c r="AN66" i="20"/>
  <c r="AO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P43" i="20"/>
  <c r="AO35" i="20"/>
  <c r="AL35" i="20"/>
  <c r="K39" i="20"/>
  <c r="AF121" i="20"/>
  <c r="AG121" i="20" s="1"/>
  <c r="AQ44" i="20" s="1"/>
  <c r="AI113" i="20"/>
  <c r="AN34" i="20"/>
  <c r="M39" i="20" s="1"/>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S37" i="20"/>
  <c r="AI110" i="20"/>
  <c r="AF110" i="20"/>
  <c r="AG110" i="20" s="1"/>
  <c r="AF105" i="20"/>
  <c r="AG105" i="20" s="1"/>
  <c r="AF113" i="20"/>
  <c r="AG113" i="20" s="1"/>
  <c r="AI112" i="20"/>
  <c r="AI85" i="20"/>
  <c r="AF85" i="20"/>
  <c r="AG85" i="20" s="1"/>
  <c r="AP44" i="20"/>
  <c r="AF114" i="20"/>
  <c r="AG114" i="20" s="1"/>
  <c r="AI114" i="20"/>
  <c r="AF93" i="20"/>
  <c r="AG93" i="20" s="1"/>
  <c r="AI93" i="20"/>
  <c r="AI124" i="20"/>
  <c r="AF124" i="20"/>
  <c r="AP47" i="20" s="1"/>
  <c r="AR47" i="20"/>
  <c r="AI88" i="20"/>
  <c r="AG88" i="20"/>
  <c r="AF108" i="20"/>
  <c r="AG108" i="20" s="1"/>
  <c r="AI108" i="20"/>
  <c r="AS40" i="20"/>
  <c r="AR34" i="20"/>
  <c r="AF80" i="20"/>
  <c r="AG80" i="20" s="1"/>
  <c r="AF116" i="20"/>
  <c r="AG116" i="20" s="1"/>
  <c r="AI116" i="20"/>
  <c r="AI89" i="20"/>
  <c r="AF84" i="20"/>
  <c r="AG84" i="20" s="1"/>
  <c r="AI84" i="20"/>
  <c r="AR35" i="20"/>
  <c r="AF81" i="20"/>
  <c r="AG81" i="20" s="1"/>
  <c r="AI81" i="20"/>
  <c r="AF91" i="20"/>
  <c r="AG91" i="20" s="1"/>
  <c r="AI91" i="20"/>
  <c r="AR45" i="20"/>
  <c r="AI122" i="20"/>
  <c r="AF122" i="20"/>
  <c r="AP45" i="20" s="1"/>
  <c r="AO34" i="20"/>
  <c r="N39" i="20" s="1"/>
  <c r="AR46" i="20"/>
  <c r="AF123" i="20"/>
  <c r="AP46" i="20" s="1"/>
  <c r="AI123"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S39" i="20"/>
  <c r="AG123" i="20"/>
  <c r="AQ46" i="20" s="1"/>
  <c r="AG119" i="20"/>
  <c r="AQ42" i="20" s="1"/>
  <c r="AG124" i="20"/>
  <c r="AQ47" i="20" s="1"/>
  <c r="AS36"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59" i="29"/>
  <c r="AI63" i="29" s="1"/>
  <c r="AI60" i="29"/>
  <c r="AI64" i="29" s="1"/>
  <c r="AJ7" i="29"/>
  <c r="AW67" i="16"/>
  <c r="AW68" i="16"/>
  <c r="AW64" i="16"/>
  <c r="AD6" i="29" s="1"/>
  <c r="AW63" i="16"/>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K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AZ53" i="20"/>
  <c r="BE116" i="21"/>
  <c r="AZ52" i="20"/>
  <c r="AZ44" i="20"/>
  <c r="AZ43" i="20"/>
  <c r="AZ51" i="20"/>
  <c r="AZ49" i="20"/>
  <c r="G3" i="12"/>
  <c r="AJ166" i="21" l="1"/>
  <c r="Q734"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AI112" i="16" s="1"/>
  <c r="DU49" i="16"/>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F76" i="20"/>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O41" i="20"/>
  <c r="AG75" i="20"/>
  <c r="P42" i="20" s="1"/>
  <c r="O42" i="20"/>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P43" i="20"/>
  <c r="P41" i="20"/>
  <c r="AQ35" i="20"/>
  <c r="P40" i="20" s="1"/>
  <c r="M24" i="20"/>
  <c r="P45" i="20"/>
  <c r="P44" i="20"/>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AC104" i="16" s="1"/>
  <c r="EN80" i="16"/>
  <c r="EN82" i="16"/>
  <c r="DB81" i="16" s="1"/>
  <c r="AC107" i="16" s="1"/>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DH78" i="16" s="1"/>
  <c r="AI104" i="16" s="1"/>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DE78" i="16" s="1"/>
  <c r="AF104" i="16" s="1"/>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DD78" i="16" s="1"/>
  <c r="AE104" i="16" s="1"/>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9" i="16"/>
  <c r="AB20"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E35" i="16" l="1" a="1"/>
  <c r="BE35" i="16" s="1"/>
  <c r="BE22" i="16" a="1"/>
  <c r="BE22" i="16" s="1"/>
  <c r="BP38" i="16" s="1"/>
  <c r="AN292" i="19"/>
  <c r="AN297" i="19"/>
  <c r="BD23" i="16" a="1"/>
  <c r="BD23" i="16" s="1"/>
  <c r="AN303" i="19"/>
  <c r="AN305" i="19"/>
  <c r="AT28" i="23"/>
  <c r="AN62" i="19"/>
  <c r="AO203" i="19"/>
  <c r="AN290" i="19"/>
  <c r="DC78" i="16"/>
  <c r="AD104" i="16" s="1"/>
  <c r="BC62" i="16" a="1"/>
  <c r="BC62" i="16" s="1"/>
  <c r="AN309" i="19"/>
  <c r="BF22" i="16" a="1"/>
  <c r="BF22" i="16" s="1"/>
  <c r="AN288" i="19"/>
  <c r="CI25" i="16" a="1"/>
  <c r="CI25" i="16" s="1"/>
  <c r="AN294" i="19"/>
  <c r="DB80" i="16"/>
  <c r="AC106" i="16" s="1"/>
  <c r="DF78" i="16"/>
  <c r="AG104" i="16" s="1"/>
  <c r="DC81" i="16"/>
  <c r="AD107" i="16" s="1"/>
  <c r="AN326" i="19"/>
  <c r="AN287" i="19"/>
  <c r="AN312" i="19"/>
  <c r="CK38" i="16" a="1"/>
  <c r="CK38" i="16" s="1"/>
  <c r="AO120" i="19"/>
  <c r="AN120" i="19"/>
  <c r="BI61" i="16" a="1"/>
  <c r="BI61" i="16" s="1"/>
  <c r="AN304" i="19"/>
  <c r="AN321" i="19"/>
  <c r="AO135" i="19"/>
  <c r="AN301" i="19"/>
  <c r="DE80" i="16"/>
  <c r="AF106" i="16" s="1"/>
  <c r="AN317" i="19"/>
  <c r="AN281" i="19"/>
  <c r="BC61" i="16" a="1"/>
  <c r="BC61" i="16" s="1"/>
  <c r="AN310" i="19"/>
  <c r="DC80" i="16"/>
  <c r="AD106" i="16" s="1"/>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AE107" i="16" s="1"/>
  <c r="DD80" i="16"/>
  <c r="AE106" i="16" s="1"/>
  <c r="AO180" i="19"/>
  <c r="DD79" i="16"/>
  <c r="DF81" i="16"/>
  <c r="AG107" i="16" s="1"/>
  <c r="DH81" i="16"/>
  <c r="AI107" i="16" s="1"/>
  <c r="DF80" i="16"/>
  <c r="AG106" i="16" s="1"/>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AH104" i="16" s="1"/>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I106" i="16" s="1"/>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D96"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D61" i="16" l="1"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H103" i="16"/>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AH107" i="16"/>
  <c r="AH106" i="16"/>
  <c r="CT60" i="16" a="1"/>
  <c r="CT60" i="16" s="1"/>
  <c r="DD60" i="16" s="1"/>
  <c r="AE96" i="16" s="1"/>
  <c r="AE97"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BX55" i="16" s="1"/>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D101"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H96"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V61" i="16"/>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U5" i="16"/>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Z36" i="24" s="1"/>
  <c r="AH36" i="16"/>
  <c r="AE36" i="16"/>
  <c r="AD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U36" i="24"/>
  <c r="V36" i="24"/>
  <c r="W36" i="24"/>
  <c r="X36" i="24"/>
  <c r="AI44" i="16"/>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Z37" i="24" s="1"/>
  <c r="AB13" i="16"/>
  <c r="AA14" i="16"/>
  <c r="AA9" i="16"/>
  <c r="AA13" i="16"/>
  <c r="AA8" i="16"/>
  <c r="Y37" i="24" s="1"/>
  <c r="Z14" i="16"/>
  <c r="Y14" i="16"/>
  <c r="X14" i="16"/>
  <c r="Y9" i="16"/>
  <c r="W9" i="16"/>
  <c r="W14" i="16"/>
  <c r="Z9" i="16"/>
  <c r="X9" i="16"/>
  <c r="Z13" i="16"/>
  <c r="Y13" i="16"/>
  <c r="W8" i="16"/>
  <c r="U37" i="24" s="1"/>
  <c r="Y8" i="16"/>
  <c r="W13" i="16"/>
  <c r="X8" i="16"/>
  <c r="V37" i="24" s="1"/>
  <c r="Z8" i="16"/>
  <c r="X13" i="16"/>
  <c r="R9" i="16"/>
  <c r="V14" i="16"/>
  <c r="U9" i="16"/>
  <c r="S14" i="16"/>
  <c r="T9" i="16"/>
  <c r="V9" i="16"/>
  <c r="T14" i="16"/>
  <c r="S9" i="16"/>
  <c r="U14" i="16"/>
  <c r="R14" i="16"/>
  <c r="T8" i="16"/>
  <c r="R13" i="16"/>
  <c r="R8" i="16"/>
  <c r="P37" i="24" s="1"/>
  <c r="S13" i="16"/>
  <c r="T13" i="16"/>
  <c r="U8" i="16"/>
  <c r="V13" i="16"/>
  <c r="S8" i="16"/>
  <c r="V8" i="16"/>
  <c r="T37" i="24" s="1"/>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X37" i="24" l="1"/>
  <c r="Q37" i="24"/>
  <c r="S37" i="24"/>
  <c r="W37" i="24"/>
  <c r="R37" i="24"/>
  <c r="AE67" i="16"/>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<sst xmlns="http://schemas.openxmlformats.org/spreadsheetml/2006/main" count="27372" uniqueCount="4895">
  <si>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</si>
  <si>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</si>
  <si>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</si>
  <si>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</si>
  <si>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</si>
  <si>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</si>
  <si>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</si>
  <si>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</si>
  <si>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</si>
  <si>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</si>
  <si>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</si>
  <si>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</si>
  <si>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</si>
  <si>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</si>
  <si>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</si>
  <si>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</si>
  <si>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</si>
  <si>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</si>
  <si>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</si>
  <si>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</si>
  <si>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</si>
  <si>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</si>
  <si>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</si>
  <si>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</si>
  <si>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</si>
  <si>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</si>
  <si>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</si>
  <si>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</si>
  <si>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</si>
  <si>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</si>
  <si>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</si>
  <si>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</si>
  <si>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</si>
  <si>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</si>
  <si>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</si>
  <si>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</si>
  <si>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</si>
  <si>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</si>
  <si>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</si>
  <si>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</si>
  <si>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</si>
  <si>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</si>
  <si>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</si>
  <si>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</si>
  <si>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</si>
  <si>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</si>
  <si>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</si>
  <si>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</si>
  <si>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</si>
  <si>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</si>
  <si>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</si>
  <si>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</si>
  <si>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</si>
  <si>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</si>
  <si>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</si>
  <si>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</si>
  <si>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</si>
  <si>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</si>
  <si>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</si>
  <si>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</si>
  <si>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</si>
  <si>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</si>
  <si>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</si>
  <si>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</si>
  <si>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</si>
  <si>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</si>
  <si>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</si>
  <si>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</si>
  <si>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</si>
  <si>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</si>
  <si>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</si>
  <si>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</si>
  <si>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</si>
  <si>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</si>
  <si>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</si>
  <si>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</si>
  <si>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</si>
  <si>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</si>
  <si>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</si>
  <si>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</si>
  <si>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</si>
  <si>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</si>
  <si>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</si>
  <si>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</si>
  <si>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</si>
  <si>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</si>
  <si>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</si>
  <si>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</si>
  <si>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</si>
  <si>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</si>
  <si>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</si>
  <si>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</si>
  <si>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</si>
  <si>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</si>
  <si>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</si>
  <si>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</si>
  <si>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</si>
  <si>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</si>
  <si>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</si>
  <si>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</si>
  <si>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</si>
  <si>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</si>
  <si>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</si>
  <si>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</si>
  <si>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</si>
  <si>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</si>
  <si>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</si>
  <si>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</si>
  <si>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</si>
  <si>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</si>
  <si>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</si>
  <si>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</si>
  <si>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</si>
  <si>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</si>
  <si>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</si>
  <si>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</si>
  <si>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</si>
  <si>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</si>
  <si>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</si>
  <si>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</si>
  <si>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</si>
  <si>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</si>
  <si>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</si>
  <si>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</si>
  <si>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</si>
  <si>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</si>
  <si>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</si>
  <si>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</si>
  <si>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</si>
  <si>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</si>
  <si>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</si>
  <si>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</si>
  <si>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</si>
  <si>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</si>
  <si>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</si>
  <si>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</si>
  <si>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</si>
  <si>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</si>
  <si>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</si>
  <si>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</si>
  <si>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</si>
  <si>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</si>
  <si>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</si>
  <si>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</si>
  <si>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</si>
  <si>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</si>
  <si>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</si>
  <si>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</si>
  <si>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</si>
  <si>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</si>
  <si>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</si>
  <si>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</si>
  <si>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</si>
  <si>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</si>
  <si>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</si>
  <si>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</si>
  <si>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</si>
  <si>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</si>
  <si>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</si>
  <si>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</si>
  <si>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</si>
  <si>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</si>
  <si>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</si>
  <si>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</si>
  <si>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</si>
  <si>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</si>
  <si>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</si>
  <si>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</si>
  <si>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</si>
  <si>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</si>
  <si>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</si>
  <si>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</si>
  <si>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</si>
  <si>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</si>
  <si>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</si>
  <si>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</si>
  <si>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</si>
  <si>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</si>
  <si>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</si>
  <si>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</si>
  <si>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</si>
  <si>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</si>
  <si>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</si>
  <si>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</si>
  <si>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</si>
  <si>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</si>
  <si>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</si>
  <si>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</si>
  <si>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</si>
  <si>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</si>
  <si>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</si>
  <si>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</si>
  <si>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</si>
  <si>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</si>
  <si>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</si>
  <si>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</si>
  <si>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</si>
  <si>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</si>
  <si>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</si>
  <si>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</si>
  <si>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</si>
  <si>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</si>
  <si>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</si>
  <si>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</si>
  <si>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</si>
  <si>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</si>
  <si>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</si>
  <si>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</si>
  <si>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</si>
  <si>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</si>
  <si>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</si>
  <si>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</si>
  <si>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</si>
  <si>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</si>
  <si>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</si>
  <si>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</si>
  <si>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</si>
  <si>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</si>
  <si>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</si>
  <si>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</si>
  <si>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</si>
  <si>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</si>
  <si>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</si>
  <si>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</si>
  <si>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</si>
  <si>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</si>
  <si>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</si>
  <si>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</si>
  <si>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</si>
  <si>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</si>
  <si>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</si>
  <si>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</si>
  <si>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</si>
  <si>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</si>
  <si>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</si>
  <si>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</si>
  <si>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</si>
  <si>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</si>
  <si>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</si>
  <si>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</si>
  <si>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</si>
  <si>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</si>
  <si>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</si>
  <si>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</si>
  <si>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</si>
  <si>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</si>
  <si>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</si>
  <si>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</si>
  <si>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</si>
  <si>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</si>
  <si>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</si>
  <si>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</si>
  <si>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</si>
  <si>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</si>
  <si>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</si>
  <si>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</si>
  <si>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</si>
  <si>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</si>
  <si>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</si>
  <si>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</si>
  <si>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</si>
  <si>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</si>
  <si>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</si>
  <si>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</si>
  <si>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</si>
  <si>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</si>
  <si>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</si>
  <si>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</si>
  <si>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</si>
  <si>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</si>
  <si>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</si>
  <si>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</si>
  <si>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</si>
  <si>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</si>
  <si>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</si>
  <si>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</si>
  <si>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</si>
  <si>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</si>
  <si>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</si>
  <si>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</si>
  <si>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</si>
  <si>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</si>
  <si>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</si>
  <si>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</si>
  <si>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</si>
  <si>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</si>
  <si>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</si>
  <si>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</si>
  <si>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</si>
  <si>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</si>
  <si>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</si>
  <si>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</si>
  <si>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</si>
  <si>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</si>
  <si>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</si>
  <si>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</si>
  <si>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</si>
  <si>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</si>
  <si>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</si>
  <si>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</si>
  <si>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</si>
  <si>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</si>
  <si>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</si>
  <si>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</si>
  <si>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</si>
  <si>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</si>
  <si>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</si>
  <si>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</si>
  <si>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</si>
  <si>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</si>
  <si>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</si>
  <si>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</si>
  <si>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</si>
  <si>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</si>
  <si>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</si>
  <si>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</si>
  <si>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</si>
  <si>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</si>
  <si>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</si>
  <si>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</si>
  <si>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</si>
  <si>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</si>
  <si>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</si>
  <si>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</si>
  <si>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</si>
  <si>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</si>
  <si>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</si>
  <si>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</si>
  <si>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</si>
  <si>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</si>
  <si>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</si>
  <si>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</si>
  <si>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</si>
  <si>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</si>
  <si>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</si>
  <si>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</si>
  <si>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</si>
  <si>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</si>
  <si>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</si>
  <si>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</si>
  <si>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</si>
  <si>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</si>
  <si>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</si>
  <si>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</si>
  <si>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</si>
  <si>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</si>
  <si>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</si>
  <si>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</si>
  <si>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</si>
  <si>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</si>
  <si>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</si>
  <si>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</si>
  <si>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</si>
  <si>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</si>
  <si>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</si>
  <si>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</si>
  <si>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</si>
  <si>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</si>
  <si>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</si>
  <si>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</si>
  <si>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</si>
  <si>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</si>
  <si>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</si>
  <si>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</si>
  <si>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</si>
  <si>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</si>
  <si>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</si>
  <si>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</si>
  <si>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</si>
  <si>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</si>
  <si>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</si>
  <si>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</si>
  <si>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</si>
  <si>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</si>
  <si>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</si>
  <si>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</si>
  <si>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</si>
  <si>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</si>
  <si>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</si>
  <si>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</si>
  <si>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</si>
  <si>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</si>
  <si>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</si>
  <si>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</si>
  <si>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</si>
  <si>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</si>
  <si>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</si>
  <si>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</si>
  <si>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</si>
  <si>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</si>
  <si>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</si>
  <si>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</si>
  <si>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</si>
  <si>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</si>
  <si>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</si>
  <si>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</si>
  <si>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</si>
  <si>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</si>
  <si>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</si>
  <si>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</si>
  <si>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</si>
  <si>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</si>
  <si>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</si>
  <si>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</si>
  <si>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</si>
  <si>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</si>
  <si>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</si>
  <si>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</si>
  <si>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</si>
  <si>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</si>
  <si>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</si>
  <si>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</si>
  <si>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</si>
  <si>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</si>
  <si>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</si>
  <si>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</si>
  <si>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</si>
  <si>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</si>
  <si>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</si>
  <si>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</si>
  <si>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</si>
  <si>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</si>
  <si>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</si>
  <si>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</si>
  <si>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</si>
  <si>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</si>
  <si>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</si>
  <si>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</si>
  <si>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</si>
  <si>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</si>
  <si>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</si>
  <si>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</si>
  <si>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</si>
  <si>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</si>
  <si>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</si>
  <si>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</si>
  <si>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</si>
  <si>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</si>
  <si>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</si>
  <si>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</si>
  <si>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</si>
  <si>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</si>
  <si>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</si>
  <si>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</si>
  <si>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</si>
  <si>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</si>
  <si>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</si>
  <si>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</si>
  <si>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</si>
  <si>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</si>
  <si>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</si>
  <si>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</si>
  <si>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</si>
  <si>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</si>
  <si>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</si>
  <si>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</si>
  <si>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</si>
  <si>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</si>
  <si>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</si>
  <si>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</si>
  <si>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</si>
  <si>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</si>
  <si>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</si>
  <si>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</si>
  <si>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</si>
  <si>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</si>
  <si>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</si>
  <si>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</si>
  <si>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</si>
  <si>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</si>
  <si>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</si>
  <si>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</si>
  <si>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</si>
  <si>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</si>
  <si>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</si>
  <si>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</si>
  <si>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</si>
  <si>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</si>
  <si>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</si>
  <si>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</si>
  <si>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</si>
  <si>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</si>
  <si>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</si>
  <si>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</si>
  <si>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</si>
  <si>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</si>
  <si>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</si>
  <si>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</si>
  <si>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</si>
  <si>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</si>
  <si>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</si>
  <si>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</si>
  <si>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</si>
  <si>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</si>
  <si>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</si>
  <si>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</si>
  <si>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</si>
  <si>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</si>
  <si>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</si>
  <si>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</si>
  <si>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</si>
  <si>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</si>
  <si>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</si>
  <si>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</si>
  <si>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</si>
  <si>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</si>
  <si>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</si>
  <si>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</si>
  <si>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</si>
  <si>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</si>
  <si>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</si>
  <si>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</si>
  <si>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</si>
  <si>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</si>
  <si>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</si>
  <si>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</si>
  <si>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</si>
  <si>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</si>
  <si>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</si>
  <si>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</si>
  <si>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</si>
  <si>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</si>
  <si>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</si>
  <si>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</si>
  <si>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</si>
  <si>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</si>
  <si>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</si>
  <si>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</si>
  <si>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</si>
  <si>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</si>
  <si>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</si>
  <si>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</si>
  <si>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</si>
  <si>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</si>
  <si>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</si>
  <si>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</si>
  <si>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</si>
  <si>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</si>
  <si>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</si>
  <si>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</si>
  <si>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</si>
  <si>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</si>
  <si>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</si>
  <si>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</si>
  <si>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</si>
  <si>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</si>
  <si>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</si>
  <si>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</si>
  <si>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</si>
  <si>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</si>
  <si>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</si>
  <si>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</si>
  <si>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</si>
  <si>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</si>
  <si>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</si>
  <si>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</si>
  <si>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</si>
  <si>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</si>
  <si>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</si>
  <si>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</si>
  <si>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</si>
  <si>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</si>
  <si>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</si>
  <si>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</si>
  <si>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</si>
  <si>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</si>
  <si>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</si>
  <si>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</si>
  <si>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</si>
  <si>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</si>
  <si>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</si>
  <si>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</si>
  <si>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</si>
  <si>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</si>
  <si>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</si>
  <si>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</si>
  <si>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</si>
  <si>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</si>
  <si>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</si>
  <si>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</si>
  <si>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</si>
  <si>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</si>
  <si>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</si>
  <si>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</si>
  <si>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</si>
  <si>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</si>
  <si>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</si>
  <si>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</si>
  <si>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</si>
  <si>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</si>
  <si>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</si>
  <si>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</si>
  <si>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</si>
  <si>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</si>
  <si>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</si>
  <si>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</si>
  <si>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</si>
  <si>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</si>
  <si>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</si>
  <si>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</si>
  <si>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</si>
  <si>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</si>
  <si>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</si>
  <si>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</si>
  <si>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</si>
  <si>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</si>
  <si>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</si>
  <si>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</si>
  <si>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</si>
  <si>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</si>
  <si>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</si>
  <si>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</si>
  <si>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</si>
  <si>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</si>
  <si>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</si>
  <si>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</si>
  <si>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</si>
  <si>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</si>
  <si>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</si>
  <si>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</si>
  <si>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</si>
  <si>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</si>
  <si>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</si>
  <si>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</si>
  <si>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</si>
  <si>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</si>
  <si>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</si>
  <si>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</si>
  <si>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</si>
  <si>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</si>
  <si>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</si>
  <si>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</si>
  <si>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</si>
  <si>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</si>
  <si>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</si>
  <si>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</si>
  <si>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</si>
  <si>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</si>
  <si>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</si>
  <si>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</si>
  <si>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</si>
  <si>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</si>
  <si>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</si>
  <si>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</si>
  <si>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</si>
  <si>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</si>
  <si>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</si>
  <si>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</si>
  <si>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</si>
  <si>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</si>
  <si>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</si>
  <si>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</si>
  <si>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</si>
  <si>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</si>
  <si>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</si>
  <si>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</si>
  <si>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</si>
  <si>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</si>
  <si>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</si>
  <si>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</si>
  <si>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</si>
  <si>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</si>
  <si>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</si>
  <si>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</si>
  <si>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</si>
  <si>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</si>
  <si>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</si>
  <si>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</si>
  <si>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</si>
  <si>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</si>
  <si>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</si>
  <si>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</si>
  <si>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</si>
  <si>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</si>
  <si>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</si>
  <si>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</si>
  <si>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</si>
  <si>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</si>
  <si>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</si>
  <si>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</si>
  <si>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</si>
  <si>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</si>
  <si>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</si>
  <si>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</si>
  <si>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</si>
  <si>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</si>
  <si>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</si>
  <si>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</si>
  <si>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</si>
  <si>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</si>
  <si>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</si>
  <si>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</si>
  <si>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</si>
  <si>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</si>
  <si>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</si>
  <si>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</si>
  <si>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</si>
  <si>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</si>
  <si>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</si>
  <si>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</si>
  <si>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</si>
  <si>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</si>
  <si>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</si>
  <si>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</si>
  <si>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</si>
  <si>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</si>
  <si>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</si>
  <si>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</si>
  <si>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</si>
  <si>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</si>
  <si>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</si>
  <si>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</si>
  <si>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</si>
  <si>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</si>
  <si>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</si>
  <si>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</si>
  <si>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</si>
  <si>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</si>
  <si>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</si>
  <si>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</si>
  <si>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</si>
  <si>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</si>
  <si>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</si>
  <si>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</si>
  <si>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</si>
  <si>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</si>
  <si>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</si>
  <si>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</si>
  <si>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</si>
  <si>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</si>
  <si>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</si>
  <si>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</si>
  <si>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</si>
  <si>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</si>
  <si>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</si>
  <si>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</si>
  <si>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</si>
  <si>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</si>
  <si>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</si>
  <si>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</si>
  <si>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</si>
  <si>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</si>
  <si>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</si>
  <si>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</si>
  <si>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</si>
  <si>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</si>
  <si>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</si>
  <si>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</si>
  <si>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</si>
  <si>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</si>
  <si>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</si>
  <si>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</si>
  <si>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</si>
  <si>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</si>
  <si>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</si>
  <si>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</si>
  <si>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</si>
  <si>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</si>
  <si>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</si>
  <si>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</si>
  <si>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</si>
  <si>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</si>
  <si>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</si>
  <si>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</si>
  <si>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</si>
  <si>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</si>
  <si>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</si>
  <si>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</si>
  <si>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</si>
  <si>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</si>
  <si>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</si>
  <si>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</si>
  <si>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</si>
  <si>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</si>
  <si>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</si>
  <si>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</si>
  <si>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</si>
  <si>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</si>
  <si>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</si>
  <si>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</si>
  <si>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</si>
  <si>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</si>
  <si>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</si>
  <si>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</si>
  <si>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</si>
  <si>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</si>
  <si>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</si>
  <si>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</si>
  <si>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</si>
  <si>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</si>
  <si>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</si>
  <si>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</si>
  <si>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</si>
  <si>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</si>
  <si>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</si>
  <si>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</si>
  <si>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</si>
  <si>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</si>
  <si>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</si>
  <si>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</si>
  <si>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</si>
  <si>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</si>
  <si>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</si>
  <si>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</si>
  <si>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</si>
  <si>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</si>
  <si>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</si>
  <si>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</si>
  <si>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</si>
  <si>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</si>
  <si>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</si>
  <si>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</si>
  <si>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</si>
  <si>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</si>
  <si>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</si>
  <si>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</si>
  <si>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</si>
  <si>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</si>
  <si>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</si>
  <si>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</si>
  <si>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</si>
  <si>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</si>
  <si>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</si>
  <si>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</si>
  <si>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</si>
  <si>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</si>
  <si>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</si>
  <si>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</si>
  <si>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</si>
  <si>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</si>
  <si>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</si>
  <si>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</si>
  <si>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</si>
  <si>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</si>
  <si>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</si>
  <si>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</si>
  <si>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</si>
  <si>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</si>
  <si>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</si>
  <si>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</si>
  <si>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</si>
  <si>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</si>
  <si>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</si>
  <si>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</si>
  <si>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</si>
  <si>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</si>
  <si>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</si>
  <si>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</si>
  <si>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</si>
  <si>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</si>
  <si>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</si>
  <si>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</si>
  <si>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</si>
  <si>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</si>
  <si>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</si>
  <si>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</si>
  <si>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</si>
  <si>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</si>
  <si>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</si>
  <si>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</si>
  <si>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</si>
  <si>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</si>
  <si>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</si>
  <si>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</si>
  <si>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</si>
  <si>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</si>
  <si>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</si>
  <si>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</si>
  <si>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</si>
  <si>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</si>
  <si>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</si>
  <si>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</si>
  <si>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</si>
  <si>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</si>
  <si>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</si>
  <si>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</si>
  <si>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</si>
  <si>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</si>
  <si>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</si>
  <si>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</si>
  <si>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</si>
  <si>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</si>
  <si>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</si>
  <si>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</si>
  <si>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</si>
  <si>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</si>
  <si>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</si>
  <si>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</si>
  <si>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</si>
  <si>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</si>
  <si>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</si>
  <si>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</si>
  <si>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</si>
  <si>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</si>
  <si>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</si>
  <si>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</si>
  <si>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</si>
  <si>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</si>
  <si>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</si>
  <si>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</si>
  <si>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</si>
  <si>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</si>
  <si>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</si>
  <si>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</si>
  <si>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</si>
  <si>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</si>
  <si>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</si>
  <si>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</si>
  <si>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</si>
  <si>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</si>
  <si>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</si>
  <si>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</si>
  <si>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</si>
  <si>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</si>
  <si>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</si>
  <si>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</si>
  <si>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</si>
  <si>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</si>
  <si>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</si>
  <si>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</si>
  <si>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</si>
  <si>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</si>
  <si>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</si>
  <si>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</si>
  <si>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</si>
  <si>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</si>
  <si>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</si>
  <si>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</si>
  <si>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</si>
  <si>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</si>
  <si>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</si>
  <si>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</si>
  <si>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</si>
  <si>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</si>
  <si>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</si>
  <si>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</si>
  <si>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</si>
  <si>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</si>
  <si>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</si>
  <si>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</si>
  <si>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</si>
  <si>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</si>
  <si>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</si>
  <si>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</si>
  <si>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</si>
  <si>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</si>
  <si>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</si>
  <si>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</si>
  <si>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</si>
  <si>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</si>
  <si>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</si>
  <si>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</si>
  <si>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</si>
  <si>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</si>
  <si>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</si>
  <si>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</si>
  <si>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</si>
  <si>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</si>
  <si>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</si>
  <si>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</si>
  <si>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</si>
  <si>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</si>
  <si>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</si>
  <si>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</si>
  <si>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</si>
  <si>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</si>
  <si>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</si>
  <si>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</si>
  <si>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</si>
  <si>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</si>
  <si>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</si>
  <si>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</si>
  <si>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</si>
  <si>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</si>
  <si>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</si>
  <si>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</si>
  <si>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</si>
  <si>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</si>
  <si>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</si>
  <si>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</si>
  <si>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</si>
  <si>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</si>
  <si>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</si>
  <si>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</si>
  <si>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</si>
  <si>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</si>
  <si>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</si>
  <si>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</si>
  <si>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</si>
  <si>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</si>
  <si>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</si>
  <si>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</si>
  <si>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</si>
  <si>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</si>
  <si>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</si>
  <si>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</si>
  <si>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</si>
  <si>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</si>
  <si>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</si>
  <si>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</si>
  <si>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</si>
  <si>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</si>
  <si>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</si>
  <si>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</si>
  <si>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</si>
  <si>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</si>
  <si>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</si>
  <si>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</si>
  <si>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</si>
  <si>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</si>
  <si>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</si>
  <si>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</si>
  <si>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</si>
  <si>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</si>
  <si>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</si>
  <si>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</si>
  <si>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</si>
  <si>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</si>
  <si>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</si>
  <si>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</si>
  <si>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</si>
  <si>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</si>
  <si>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</si>
  <si>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</si>
  <si>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</si>
  <si>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</si>
  <si>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</si>
  <si>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</si>
  <si>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</si>
  <si>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</si>
  <si>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</si>
  <si>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</si>
  <si>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</si>
  <si>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</si>
  <si>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</si>
  <si>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</si>
  <si>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</si>
  <si>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</si>
  <si>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</si>
  <si>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</si>
  <si>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</si>
  <si>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</si>
  <si>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</si>
  <si>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</si>
  <si>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</si>
  <si>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</si>
  <si>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</si>
  <si>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</si>
  <si>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</si>
  <si>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</si>
  <si>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</si>
  <si>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</si>
  <si>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</si>
  <si>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</si>
  <si>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</si>
  <si>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</si>
  <si>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</si>
  <si>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</si>
  <si>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</si>
  <si>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</si>
  <si>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</si>
  <si>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</si>
  <si>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</si>
  <si>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</si>
  <si>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</si>
  <si>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</si>
  <si>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</si>
  <si>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</si>
  <si>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</si>
  <si>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</si>
  <si>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</si>
  <si>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</si>
  <si>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</si>
  <si>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</si>
  <si>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</si>
  <si>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</si>
  <si>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</si>
  <si>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</si>
  <si>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</si>
  <si>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</si>
  <si>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</si>
  <si>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</si>
  <si>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</si>
  <si>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</si>
  <si>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</si>
  <si>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</si>
  <si>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</si>
  <si>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</si>
  <si>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</si>
  <si>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</si>
  <si>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</si>
  <si>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</si>
  <si>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</si>
  <si>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</si>
  <si>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</si>
  <si>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</si>
  <si>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</si>
  <si>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</si>
  <si>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</si>
  <si>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</si>
  <si>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</si>
  <si>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</si>
  <si>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</si>
  <si>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</si>
  <si>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</si>
  <si>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</si>
  <si>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</si>
  <si>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</si>
  <si>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</si>
  <si>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</si>
  <si>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</si>
  <si>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</si>
  <si>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</si>
  <si>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</si>
  <si>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</si>
  <si>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</si>
  <si>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</si>
  <si>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</si>
  <si>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</si>
  <si>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</si>
  <si>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</si>
  <si>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</si>
  <si>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</si>
  <si>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</si>
  <si>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</si>
  <si>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</si>
  <si>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</si>
  <si>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</si>
  <si>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</si>
  <si>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</si>
  <si>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</si>
  <si>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</si>
  <si>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</si>
  <si>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</si>
  <si>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</si>
  <si>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</si>
  <si>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</si>
  <si>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</si>
  <si>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</si>
  <si>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</si>
  <si>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</si>
  <si>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</si>
  <si>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</si>
  <si>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</si>
  <si>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</si>
  <si>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</si>
  <si>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</si>
  <si>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</si>
  <si>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</si>
  <si>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</si>
  <si>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</si>
  <si>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</si>
  <si>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</si>
  <si>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</si>
  <si>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</si>
  <si>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</si>
  <si>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</si>
  <si>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</si>
  <si>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</si>
  <si>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</si>
  <si>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</si>
  <si>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</si>
  <si>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</si>
  <si>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</si>
  <si>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</si>
  <si>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</si>
  <si>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</si>
  <si>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</si>
  <si>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</si>
  <si>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</si>
  <si>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</si>
  <si>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</si>
  <si>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</si>
  <si>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</si>
  <si>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</si>
  <si>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</si>
  <si>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</si>
  <si>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</si>
  <si>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</si>
  <si>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</si>
  <si>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</si>
  <si>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</si>
  <si>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</si>
  <si>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</si>
  <si>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</si>
  <si>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</si>
  <si>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</si>
  <si>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</si>
  <si>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</si>
  <si>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</si>
  <si>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</si>
  <si>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</si>
  <si>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</si>
  <si>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</si>
  <si>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</si>
  <si>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</si>
  <si>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</si>
  <si>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</si>
  <si>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</si>
  <si>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</si>
  <si>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</si>
  <si>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</si>
  <si>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</si>
  <si>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</si>
  <si>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</si>
  <si>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</si>
  <si>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</si>
  <si>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</si>
  <si>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</si>
  <si>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</si>
  <si>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</si>
  <si>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</si>
  <si>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</si>
  <si>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</si>
  <si>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</si>
  <si>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</si>
  <si>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</si>
  <si>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</si>
  <si>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</si>
  <si>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</si>
  <si>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</si>
  <si>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</si>
  <si>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</si>
  <si>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</si>
  <si>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</si>
  <si>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</si>
  <si>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</si>
  <si>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</si>
  <si>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</si>
  <si>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</si>
  <si>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</si>
  <si>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</si>
  <si>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</si>
  <si>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</si>
  <si>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</si>
  <si>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</si>
  <si>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</si>
  <si>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</si>
  <si>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</si>
  <si>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</si>
  <si>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</si>
  <si>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</si>
  <si>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</si>
  <si>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</si>
  <si>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</si>
  <si>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</si>
  <si>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</si>
  <si>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</si>
  <si>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</si>
  <si>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</si>
  <si>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</si>
  <si>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</si>
  <si>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</si>
  <si>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</si>
  <si>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</si>
  <si>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</si>
  <si>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</si>
  <si>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</si>
  <si>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</si>
  <si>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</si>
  <si>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</si>
  <si>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</si>
  <si>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</si>
  <si>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</si>
  <si>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</si>
  <si>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</si>
  <si>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</si>
  <si>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</si>
  <si>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</si>
  <si>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</si>
  <si>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</si>
  <si>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</si>
  <si>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</si>
  <si>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</si>
  <si>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</si>
  <si>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</si>
  <si>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</si>
  <si>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</si>
  <si>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</si>
  <si>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</si>
  <si>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</si>
  <si>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</si>
  <si>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</si>
  <si>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</si>
  <si>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</si>
  <si>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</si>
  <si>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</si>
  <si>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</si>
  <si>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</si>
  <si>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</si>
  <si>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</si>
  <si>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</si>
  <si>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</si>
  <si>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</si>
  <si>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</si>
  <si>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</si>
  <si>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</si>
  <si>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</si>
  <si>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</si>
  <si>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</si>
  <si>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</si>
  <si>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</si>
  <si>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</si>
  <si>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</si>
  <si>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</si>
  <si>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</si>
  <si>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</si>
  <si>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</si>
  <si>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</si>
  <si>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</si>
  <si>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</si>
  <si>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</si>
  <si>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</si>
  <si>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</si>
  <si>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</si>
  <si>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</si>
  <si>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</si>
  <si>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</si>
  <si>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</si>
  <si>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</si>
  <si>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</si>
  <si>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</si>
  <si>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</si>
  <si>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</si>
  <si>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</si>
  <si>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</si>
  <si>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</si>
  <si>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</si>
  <si>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</si>
  <si>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</si>
  <si>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</si>
  <si>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</si>
  <si>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</si>
  <si>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</si>
  <si>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</si>
  <si>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</si>
  <si>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</si>
  <si>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</si>
  <si>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</si>
  <si>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</si>
  <si>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</si>
  <si>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</si>
  <si>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</si>
  <si>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</si>
  <si>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</si>
  <si>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</si>
  <si>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</si>
  <si>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</si>
  <si>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</si>
  <si>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</si>
  <si>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</si>
  <si>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</si>
  <si>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</si>
  <si>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</si>
  <si>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</si>
  <si>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</si>
  <si>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</si>
  <si>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</si>
  <si>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</si>
  <si>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</si>
  <si>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</si>
  <si>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</si>
  <si>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</si>
  <si>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</si>
  <si>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</si>
  <si>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</si>
  <si>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</si>
  <si>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</si>
  <si>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</si>
  <si>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</si>
  <si>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</si>
  <si>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</si>
  <si>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</si>
  <si>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</si>
  <si>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</si>
  <si>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</si>
  <si>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</si>
  <si>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</si>
  <si>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</si>
  <si>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</si>
  <si>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</si>
  <si>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</si>
  <si>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</si>
  <si>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</si>
  <si>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</si>
  <si>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</si>
  <si>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</si>
  <si>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</si>
  <si>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</si>
  <si>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</si>
  <si>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</si>
  <si>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</si>
  <si>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</si>
  <si>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</si>
  <si>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</si>
  <si>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</si>
  <si>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</si>
  <si>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</si>
  <si>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</si>
  <si>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</si>
  <si>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</si>
  <si>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</si>
  <si>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</si>
  <si>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</si>
  <si>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</si>
  <si>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</si>
  <si>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</si>
  <si>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</si>
  <si>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</si>
  <si>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</si>
  <si>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</si>
  <si>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</si>
  <si>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</si>
  <si>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</si>
  <si>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</si>
  <si>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</si>
  <si>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</si>
  <si>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</si>
  <si>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</si>
  <si>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</si>
  <si>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</si>
  <si>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</si>
  <si>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</si>
  <si>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</si>
  <si>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</si>
  <si>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</si>
  <si>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</si>
  <si>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</si>
  <si>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</si>
  <si>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</si>
  <si>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</si>
  <si>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</si>
  <si>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</si>
  <si>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</si>
  <si>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</si>
  <si>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</si>
  <si>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</si>
  <si>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</si>
  <si>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</si>
  <si>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</si>
  <si>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</si>
  <si>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</si>
  <si>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</si>
  <si>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</si>
  <si>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</si>
  <si>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</si>
  <si>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</si>
  <si>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</si>
  <si>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</si>
  <si>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</si>
  <si>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</si>
  <si>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</si>
  <si>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</si>
  <si>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</si>
  <si>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</si>
  <si>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</si>
  <si>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</si>
  <si>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</si>
  <si>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</si>
  <si>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</si>
  <si>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</si>
  <si>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</si>
  <si>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</si>
  <si>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</si>
  <si>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</si>
  <si>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</si>
  <si>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</si>
  <si>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</si>
  <si>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</si>
  <si>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</si>
  <si>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</si>
  <si>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</si>
  <si>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</si>
  <si>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</si>
  <si>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</si>
  <si>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</si>
  <si>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</si>
  <si>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</si>
  <si>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</si>
  <si>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</si>
  <si>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</si>
  <si>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</si>
  <si>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</si>
  <si>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</si>
  <si>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</si>
  <si>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</si>
  <si>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</si>
  <si>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</si>
  <si>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</si>
  <si>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</si>
  <si>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</si>
  <si>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</si>
  <si>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</si>
  <si>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</si>
  <si>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</si>
  <si>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</si>
  <si>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</si>
  <si>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</si>
  <si>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</si>
  <si>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</si>
  <si>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</si>
  <si>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</si>
  <si>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</si>
  <si>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</si>
  <si>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</si>
  <si>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</si>
  <si>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</si>
  <si>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</si>
  <si>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</si>
  <si>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</si>
  <si>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</si>
  <si>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</si>
  <si>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</si>
  <si>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</si>
  <si>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</si>
  <si>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</si>
  <si>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</si>
  <si>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</si>
  <si>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</si>
  <si>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</si>
  <si>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</si>
  <si>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</si>
  <si>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</si>
  <si>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</si>
  <si>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</si>
  <si>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</si>
  <si>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</si>
  <si>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</si>
  <si>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</si>
  <si>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</si>
  <si>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</si>
  <si>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</si>
  <si>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</si>
  <si>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</si>
  <si>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</si>
  <si>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</si>
  <si>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</si>
  <si>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</si>
  <si>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</si>
  <si>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</si>
  <si>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</si>
  <si>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</si>
  <si>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</si>
  <si>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</si>
  <si>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</si>
  <si>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</si>
  <si>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</si>
  <si>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</si>
  <si>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</si>
  <si>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</si>
  <si>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</si>
  <si>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</si>
  <si>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</si>
  <si>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</si>
  <si>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</si>
  <si>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</si>
  <si>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</si>
  <si>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</si>
  <si>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</si>
  <si>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</si>
  <si>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</si>
  <si>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</si>
  <si>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</si>
  <si>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</si>
  <si>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</si>
  <si>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</si>
  <si>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</si>
  <si>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</si>
  <si>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</si>
  <si>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</si>
  <si>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</si>
  <si>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</si>
  <si>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</si>
  <si>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</si>
  <si>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</si>
  <si>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</si>
  <si>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</si>
  <si>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</si>
  <si>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</si>
  <si>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</si>
  <si>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</si>
  <si>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</si>
  <si>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</si>
  <si>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</si>
  <si>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</si>
  <si>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</si>
  <si>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</si>
  <si>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</si>
  <si>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</si>
  <si>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</si>
  <si>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</si>
  <si>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</si>
  <si>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</si>
  <si>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</si>
  <si>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</si>
  <si>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</si>
  <si>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</si>
  <si>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</si>
  <si>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</si>
  <si>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</si>
  <si>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</si>
  <si>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</si>
  <si>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</si>
  <si>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</si>
  <si>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</si>
  <si>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</si>
  <si>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</si>
  <si>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</si>
  <si>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</si>
  <si>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</si>
  <si>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</si>
  <si>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</si>
  <si>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</si>
  <si>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</si>
  <si>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</si>
  <si>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</si>
  <si>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</si>
  <si>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</si>
  <si>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</si>
  <si>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</si>
  <si>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</si>
  <si>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</si>
  <si>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</si>
  <si>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</si>
  <si>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</si>
  <si>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</si>
  <si>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</si>
  <si>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</si>
  <si>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</si>
  <si>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</si>
  <si>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</si>
  <si>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</si>
  <si>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</si>
  <si>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</si>
  <si>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</si>
  <si>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</si>
  <si>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</si>
  <si>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</si>
  <si>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</si>
  <si>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</si>
  <si>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</si>
  <si>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</si>
  <si>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</si>
  <si>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</si>
  <si>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</si>
  <si>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</si>
  <si>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</si>
  <si>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</si>
  <si>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</si>
  <si>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</si>
  <si>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</si>
  <si>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</si>
  <si>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</si>
  <si>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</si>
  <si>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</si>
  <si>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</si>
  <si>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</si>
  <si>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</si>
  <si>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</si>
  <si>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</si>
  <si>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</si>
  <si>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</si>
  <si>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</si>
  <si>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</si>
  <si>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</si>
  <si>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</si>
  <si>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</si>
  <si>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</si>
  <si>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</si>
  <si>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</si>
  <si>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</si>
  <si>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</si>
  <si>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</si>
  <si>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</si>
  <si>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</si>
  <si>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</si>
  <si>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</si>
  <si>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</si>
  <si>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</si>
  <si>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</si>
  <si>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</si>
  <si>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</si>
  <si>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</si>
  <si>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</si>
  <si>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</si>
  <si>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</si>
  <si>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</si>
  <si>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</si>
  <si>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</si>
  <si>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</si>
  <si>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</si>
  <si>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</si>
  <si>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</si>
  <si>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</si>
  <si>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</si>
  <si>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</si>
  <si>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</si>
  <si>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</si>
  <si>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</si>
  <si>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</si>
  <si>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</si>
  <si>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</si>
  <si>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</si>
  <si>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</si>
  <si>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</si>
  <si>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</si>
  <si>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</si>
  <si>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</si>
  <si>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</si>
  <si>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</si>
  <si>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</si>
  <si>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</si>
  <si>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</si>
  <si>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</si>
  <si>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</si>
  <si>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</si>
  <si>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</si>
  <si>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</si>
  <si>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</si>
  <si>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</si>
  <si>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</si>
  <si>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</si>
  <si>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</si>
  <si>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</si>
  <si>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</si>
  <si>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</si>
  <si>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</si>
  <si>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</si>
  <si>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</si>
  <si>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</si>
  <si>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</si>
  <si>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</si>
  <si>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</si>
  <si>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</si>
  <si>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</si>
  <si>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</si>
  <si>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</si>
  <si>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</si>
  <si>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</si>
  <si>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</si>
  <si>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</si>
  <si>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</si>
  <si>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</si>
  <si>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</si>
  <si>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</si>
  <si>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</si>
  <si>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</si>
  <si>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</si>
  <si>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</si>
  <si>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</si>
  <si>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</si>
  <si>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</si>
  <si>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</si>
  <si>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</si>
  <si>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</si>
  <si>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</si>
  <si>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</si>
  <si>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</si>
  <si>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</si>
  <si>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</si>
  <si>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</si>
  <si>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</si>
  <si>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</si>
  <si>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</si>
  <si>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</si>
  <si>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</si>
  <si>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</si>
  <si>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</si>
  <si>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</si>
  <si>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</si>
  <si>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</si>
  <si>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</si>
  <si>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</si>
  <si>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</si>
  <si>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</si>
  <si>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</si>
  <si>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</si>
  <si>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</si>
  <si>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</si>
  <si>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</si>
  <si>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</si>
  <si>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</si>
  <si>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</si>
  <si>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</si>
  <si>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</si>
  <si>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</si>
  <si>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</si>
  <si>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</si>
  <si>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</si>
  <si>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</si>
  <si>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</si>
  <si>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</si>
  <si>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</si>
  <si>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</si>
  <si>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</si>
  <si>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</si>
  <si>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</si>
  <si>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</si>
  <si>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</si>
  <si>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</si>
  <si>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</si>
  <si>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</si>
  <si>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</si>
  <si>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</si>
  <si>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</si>
  <si>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</si>
  <si>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</si>
  <si>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</si>
  <si>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</si>
  <si>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</si>
  <si>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</si>
  <si>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</si>
  <si>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</si>
  <si>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</si>
  <si>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</si>
  <si>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</si>
  <si>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</si>
  <si>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</si>
  <si>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</si>
  <si>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</si>
  <si>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</si>
  <si>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</si>
  <si>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</si>
  <si>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</si>
  <si>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</si>
  <si>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</si>
  <si>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</si>
  <si>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</si>
  <si>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</si>
  <si>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</si>
  <si>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</si>
  <si>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</si>
  <si>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</si>
  <si>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</si>
  <si>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</si>
  <si>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</si>
  <si>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</si>
  <si>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</si>
  <si>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</si>
  <si>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</si>
  <si>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</si>
  <si>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</si>
  <si>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</si>
  <si>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</si>
  <si>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</si>
  <si>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</si>
  <si>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</si>
  <si>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</si>
  <si>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</si>
  <si>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</si>
  <si>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</si>
  <si>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</si>
  <si>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</si>
  <si>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</si>
  <si>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</si>
  <si>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</si>
  <si>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</si>
  <si>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</si>
  <si>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</si>
  <si>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</si>
  <si>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</si>
  <si>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</si>
  <si>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</si>
  <si>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</si>
  <si>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</si>
  <si>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</si>
  <si>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</si>
  <si>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</si>
  <si>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</si>
  <si>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</si>
  <si>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</si>
  <si>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</si>
  <si>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</si>
  <si>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</si>
  <si>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</si>
  <si>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</si>
  <si>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</si>
  <si>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</si>
  <si>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</si>
  <si>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</si>
  <si>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</si>
  <si>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</si>
  <si>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</si>
  <si>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</si>
  <si>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</si>
  <si>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</si>
  <si>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</si>
  <si>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</si>
  <si>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</si>
  <si>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</si>
  <si>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</si>
  <si>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</si>
  <si>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</si>
  <si>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</si>
  <si>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</si>
  <si>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</si>
  <si>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</si>
  <si>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</si>
  <si>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</si>
  <si>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</si>
  <si>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</si>
  <si>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</si>
  <si>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</si>
  <si>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</si>
  <si>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</si>
  <si>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</si>
  <si>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</si>
  <si>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</si>
  <si>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</si>
  <si>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</si>
  <si>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</si>
  <si>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</si>
  <si>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</si>
  <si>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</si>
  <si>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</si>
  <si>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</si>
  <si>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</si>
  <si>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</si>
  <si>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</si>
  <si>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</si>
  <si>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</si>
  <si>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</si>
  <si>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</si>
  <si>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</si>
  <si>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</si>
  <si>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</si>
  <si>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</si>
  <si>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</si>
  <si>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</si>
  <si>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</si>
  <si>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</si>
  <si>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</si>
  <si>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</si>
  <si>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</si>
  <si>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</si>
  <si>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</si>
  <si>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</si>
  <si>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</si>
  <si>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</si>
  <si>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</si>
  <si>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</si>
  <si>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</si>
  <si>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</si>
  <si>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</si>
  <si>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</si>
  <si>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</si>
  <si>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</si>
  <si>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</si>
  <si>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</si>
  <si>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</si>
  <si>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</si>
  <si>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</si>
  <si>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</si>
  <si>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</si>
  <si>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</si>
  <si>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</si>
  <si>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</si>
  <si>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</si>
  <si>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</si>
  <si>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</si>
  <si>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</si>
  <si>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</si>
  <si>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</si>
  <si>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</si>
  <si>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</si>
  <si>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</si>
  <si>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</si>
  <si>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</si>
  <si>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</si>
  <si>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</si>
  <si>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</si>
  <si>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</si>
  <si>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</si>
  <si>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</si>
  <si>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</si>
  <si>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</si>
  <si>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</si>
  <si>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</si>
  <si>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</si>
  <si>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</si>
  <si>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</si>
  <si>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</si>
  <si>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</si>
  <si>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</si>
  <si>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</si>
  <si>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</si>
  <si>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</si>
  <si>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</si>
  <si>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</si>
  <si>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</si>
  <si>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</si>
  <si>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</si>
  <si>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</si>
  <si>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</si>
  <si>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</si>
  <si>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</si>
  <si>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</si>
  <si>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</si>
  <si>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</si>
  <si>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</si>
  <si>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</si>
  <si>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</si>
  <si>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</si>
  <si>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</si>
  <si>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</si>
  <si>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</si>
  <si>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</si>
  <si>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</si>
  <si>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</si>
  <si>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</si>
  <si>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</si>
  <si>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</si>
  <si>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</si>
  <si>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</si>
  <si>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</si>
  <si>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</si>
  <si>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</si>
  <si>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</si>
  <si>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</si>
  <si>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</si>
  <si>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</si>
  <si>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</si>
  <si>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</si>
  <si>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</si>
  <si>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</si>
  <si>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</si>
  <si>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</si>
  <si>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</si>
  <si>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</si>
  <si>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</si>
  <si>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</si>
  <si>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</si>
  <si>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</si>
  <si>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</si>
  <si>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</si>
  <si>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</si>
  <si>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</si>
  <si>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</si>
  <si>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</si>
  <si>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</si>
  <si>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</si>
  <si>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</si>
  <si>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</si>
  <si>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</si>
  <si>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</si>
  <si>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</si>
  <si>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</si>
  <si>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</si>
  <si>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</si>
  <si>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</si>
  <si>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</si>
  <si>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</si>
  <si>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</si>
  <si>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</si>
  <si>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</si>
  <si>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</si>
  <si>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</si>
  <si>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</si>
  <si>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</si>
  <si>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</si>
  <si>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</si>
  <si>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</si>
  <si>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</si>
  <si>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</si>
  <si>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</si>
  <si>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</si>
  <si>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</si>
  <si>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</si>
  <si>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</si>
  <si>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</si>
  <si>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</si>
  <si>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</si>
  <si>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</si>
  <si>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</si>
  <si>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</si>
  <si>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</si>
  <si>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</si>
  <si>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</si>
  <si>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</si>
  <si>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</si>
  <si>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</si>
  <si>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</si>
  <si>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</si>
  <si>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</si>
  <si>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</si>
  <si>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</si>
  <si>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</si>
  <si>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</si>
  <si>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</si>
  <si>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</si>
  <si>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</si>
  <si>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</si>
  <si>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</si>
  <si>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</si>
  <si>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</si>
  <si>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</si>
  <si>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</si>
  <si>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</si>
  <si>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</si>
  <si>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</si>
  <si>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</si>
  <si>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</si>
  <si>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</si>
  <si>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</si>
  <si>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</si>
  <si>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</si>
  <si>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</si>
  <si>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</si>
  <si>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</si>
  <si>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</si>
  <si>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</si>
  <si>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</si>
  <si>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</si>
  <si>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</si>
  <si>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</si>
  <si>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</si>
  <si>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</si>
  <si>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</si>
  <si>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</si>
  <si>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</si>
  <si>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</si>
  <si>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</si>
  <si>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</si>
  <si>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</si>
  <si>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</si>
  <si>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</si>
  <si>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</si>
  <si>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</si>
  <si>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</si>
  <si>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</si>
  <si>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</si>
  <si>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</si>
  <si>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</si>
  <si>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</si>
  <si>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</si>
  <si>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</si>
  <si>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</si>
  <si>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</si>
  <si>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</si>
  <si>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</si>
  <si>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</si>
  <si>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</si>
  <si>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</si>
  <si>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</si>
  <si>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</si>
  <si>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</si>
  <si>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</si>
  <si>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</si>
  <si>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</si>
  <si>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</si>
  <si>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</si>
  <si>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</si>
  <si>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</si>
  <si>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</si>
  <si>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</si>
  <si>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</si>
  <si>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</si>
  <si>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</si>
  <si>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</si>
  <si>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</si>
  <si>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</si>
  <si>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</si>
  <si>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</si>
  <si>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</si>
  <si>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</si>
  <si>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</si>
  <si>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</si>
  <si>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</si>
  <si>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</si>
  <si>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</si>
  <si>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</si>
  <si>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</si>
  <si>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</si>
  <si>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</si>
  <si>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</si>
  <si>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</si>
  <si>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</si>
  <si>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</si>
  <si>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</si>
  <si>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</si>
  <si>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</si>
  <si>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</si>
  <si>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</si>
  <si>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</si>
  <si>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</si>
  <si>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</si>
  <si>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</si>
  <si>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</si>
  <si>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</si>
  <si>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</si>
  <si>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</si>
  <si>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</si>
  <si>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</si>
  <si>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</si>
  <si>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</si>
  <si>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</si>
  <si>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</si>
  <si>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</si>
  <si>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</si>
  <si>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</si>
  <si>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</si>
  <si>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</si>
  <si>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</si>
  <si>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</si>
  <si>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</si>
  <si>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</si>
  <si>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</si>
  <si>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</si>
  <si>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</si>
  <si>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</si>
  <si>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</si>
  <si>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</si>
  <si>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</si>
  <si>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</si>
  <si>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</si>
  <si>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</si>
  <si>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</si>
  <si>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</si>
  <si>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</si>
  <si>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</si>
  <si>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</si>
  <si>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</si>
  <si>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</si>
  <si>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</si>
  <si>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</si>
  <si>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</si>
  <si>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</si>
  <si>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</si>
  <si>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</si>
  <si>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</si>
  <si>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</si>
  <si>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</si>
  <si>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</si>
  <si>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</si>
  <si>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</si>
  <si>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</si>
  <si>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</si>
  <si>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</si>
  <si>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</si>
  <si>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</si>
  <si>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</si>
  <si>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</si>
  <si>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</si>
  <si>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</si>
  <si>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</si>
  <si>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</si>
  <si>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</si>
  <si>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</si>
  <si>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</si>
  <si>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</si>
  <si>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</si>
  <si>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</si>
  <si>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</si>
  <si>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</si>
  <si>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</si>
  <si>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</si>
  <si>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</si>
  <si>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</si>
  <si>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</si>
  <si>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</si>
  <si>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</si>
  <si>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</si>
  <si>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</si>
  <si>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</si>
  <si>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</si>
  <si>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</si>
  <si>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</si>
  <si>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</si>
  <si>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</si>
  <si>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</si>
  <si>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</si>
  <si>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</si>
  <si>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</si>
  <si>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</si>
  <si>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</si>
  <si>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</si>
  <si>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</si>
  <si>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</si>
  <si>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</si>
  <si>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</si>
  <si>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</si>
  <si>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</si>
  <si>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</si>
  <si>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</si>
  <si>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</si>
  <si>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</si>
  <si>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</si>
  <si>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</si>
  <si>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</si>
  <si>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</si>
  <si>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</si>
  <si>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</si>
  <si>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</si>
  <si>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</si>
  <si>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</si>
  <si>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</si>
  <si>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</si>
  <si>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</si>
  <si>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</si>
  <si>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</si>
  <si>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</si>
  <si>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</si>
  <si>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</si>
  <si>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</si>
  <si>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</si>
  <si>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</si>
  <si>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</si>
  <si>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</si>
  <si>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</si>
  <si>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</si>
  <si>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</si>
  <si>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</si>
  <si>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</si>
  <si>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</si>
  <si>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</si>
  <si>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</si>
  <si>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</si>
  <si>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</si>
  <si>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</si>
  <si>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</si>
  <si>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</si>
  <si>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</si>
  <si>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</si>
  <si>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</si>
  <si>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</si>
  <si>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</si>
  <si>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</si>
  <si>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</si>
  <si>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</si>
  <si>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</si>
  <si>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</si>
  <si>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</si>
  <si>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</si>
  <si>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</si>
  <si>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</si>
  <si>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</si>
  <si>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</si>
  <si>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</si>
  <si>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</si>
  <si>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</si>
  <si>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</si>
  <si>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</si>
  <si>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</si>
  <si>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</si>
  <si>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</si>
  <si>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</si>
  <si>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</si>
  <si>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</si>
  <si>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</si>
  <si>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</si>
  <si>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</si>
  <si>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</si>
  <si>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</si>
  <si>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</si>
  <si>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</si>
  <si>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</si>
  <si>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</si>
  <si>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</si>
  <si>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</si>
  <si>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</si>
  <si>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</si>
  <si>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</si>
  <si>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</si>
  <si>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</si>
  <si>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</si>
  <si>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</si>
  <si>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</si>
  <si>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</si>
  <si>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</si>
  <si>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</si>
  <si>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</si>
  <si>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</si>
  <si>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</si>
  <si>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</si>
  <si>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</si>
  <si>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</si>
  <si>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</si>
  <si>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</si>
  <si>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</si>
  <si>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</si>
  <si>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</si>
  <si>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</si>
  <si>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</si>
  <si>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</si>
  <si>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</si>
  <si>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</si>
  <si>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</si>
  <si>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</si>
  <si>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</si>
  <si>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</si>
  <si>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</si>
  <si>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</si>
  <si>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</si>
  <si>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</si>
  <si>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</si>
  <si>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</si>
  <si>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</si>
  <si>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</si>
  <si>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</si>
  <si>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</si>
  <si>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</si>
  <si>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</si>
  <si>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</si>
  <si>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</si>
  <si>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</si>
  <si>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</si>
  <si>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</si>
  <si>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</si>
  <si>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</si>
  <si>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</si>
  <si>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</si>
  <si>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</si>
  <si>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</si>
  <si>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</si>
  <si>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</si>
  <si>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</si>
  <si>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</si>
  <si>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</si>
  <si>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</si>
  <si>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</si>
  <si>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</si>
  <si>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</si>
  <si>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</si>
  <si>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</si>
  <si>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</si>
  <si>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</si>
  <si>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</si>
  <si>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</si>
  <si>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</si>
  <si>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</si>
  <si>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</si>
  <si>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</si>
  <si>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</si>
  <si>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</si>
  <si>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</si>
  <si>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</si>
  <si>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</si>
  <si>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</si>
  <si>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</si>
  <si>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</si>
  <si>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</si>
  <si>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</si>
  <si>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</si>
  <si>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</si>
  <si>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</si>
  <si>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</si>
  <si>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</si>
  <si>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</si>
  <si>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</si>
  <si>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</si>
  <si>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</si>
  <si>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</si>
  <si>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</si>
  <si>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</si>
  <si>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</si>
  <si>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</si>
  <si>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</si>
  <si>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</si>
  <si>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</si>
  <si>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</si>
  <si>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</si>
  <si>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</si>
  <si>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</si>
  <si>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</si>
  <si>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</si>
  <si>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</si>
  <si>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</si>
  <si>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</si>
  <si>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</si>
  <si>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</si>
  <si>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</si>
  <si>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</si>
  <si>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</si>
  <si>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</si>
  <si>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</si>
  <si>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</si>
  <si>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</si>
  <si>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</si>
  <si>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</si>
  <si>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</si>
  <si>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</si>
  <si>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</si>
  <si>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</si>
  <si>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</si>
  <si>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</si>
  <si>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</si>
  <si>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</si>
  <si>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</si>
  <si>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</si>
  <si>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</si>
  <si>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</si>
  <si>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</si>
  <si>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</si>
  <si>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</si>
  <si>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</si>
  <si>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</si>
  <si>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</si>
  <si>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</si>
  <si>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</si>
  <si>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</si>
  <si>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</si>
  <si>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</si>
  <si>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</si>
  <si>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</si>
  <si>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</si>
  <si>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</si>
  <si>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</si>
  <si>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</si>
  <si>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</si>
  <si>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</si>
  <si>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</si>
  <si>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</si>
  <si>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</si>
  <si>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</si>
  <si>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</si>
  <si>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</si>
  <si>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</si>
  <si>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</si>
  <si>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</si>
  <si>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</si>
  <si>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</si>
  <si>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</si>
  <si>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</si>
  <si>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</si>
  <si>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</si>
  <si>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</si>
  <si>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</si>
  <si>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</si>
  <si>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</si>
  <si>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</si>
  <si>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</si>
  <si>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</si>
  <si>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</si>
  <si>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</si>
  <si>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</si>
  <si>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</si>
  <si>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</si>
  <si>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</si>
  <si>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</si>
  <si>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</si>
  <si>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</si>
  <si>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</si>
  <si>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</si>
  <si>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</si>
  <si>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</si>
  <si>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</si>
  <si>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</si>
  <si>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</si>
  <si>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</si>
  <si>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</si>
  <si>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</si>
  <si>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</si>
  <si>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</si>
  <si>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</si>
  <si>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</si>
  <si>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</si>
  <si>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</si>
  <si>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</si>
  <si>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</si>
  <si>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</si>
  <si>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</si>
  <si>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</si>
  <si>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</si>
  <si>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</si>
  <si>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</si>
  <si>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</si>
  <si>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</si>
  <si>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</si>
  <si>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</si>
  <si>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</si>
  <si>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</si>
  <si>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</si>
  <si>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</si>
  <si>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</si>
  <si>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</si>
  <si>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</si>
  <si>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</si>
  <si>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</si>
  <si>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</si>
  <si>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</si>
  <si>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</si>
  <si>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</si>
  <si>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</si>
  <si>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</si>
  <si>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</si>
  <si>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</si>
  <si>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</si>
  <si>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</si>
  <si>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</si>
  <si>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</si>
  <si>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</si>
  <si>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</si>
  <si>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</si>
  <si>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</si>
  <si>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</si>
  <si>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</si>
  <si>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</si>
  <si>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</si>
  <si>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</si>
  <si>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</si>
  <si>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</si>
  <si>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</si>
  <si>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</si>
  <si>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</si>
  <si>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</si>
  <si>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</si>
  <si>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</si>
  <si>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</si>
  <si>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</si>
  <si>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</si>
  <si>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</si>
  <si>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</si>
  <si>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</si>
  <si>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</si>
  <si>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</si>
  <si>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</si>
  <si>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</si>
  <si>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</si>
  <si>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</si>
  <si>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</si>
  <si>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</si>
  <si>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</si>
  <si>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</si>
  <si>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</si>
  <si>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</si>
  <si>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</si>
  <si>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</si>
  <si>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</si>
  <si>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</si>
  <si>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</si>
  <si>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</si>
  <si>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</si>
  <si>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</si>
  <si>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</si>
  <si>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</si>
  <si>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</si>
  <si>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</si>
  <si>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</si>
  <si>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</si>
  <si>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</si>
  <si>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</si>
  <si>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</si>
  <si>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</si>
  <si>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</si>
  <si>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</si>
  <si>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</si>
  <si>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</si>
  <si>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</si>
  <si>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</si>
  <si>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</si>
  <si>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</si>
  <si>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</si>
  <si>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</si>
  <si>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</si>
  <si>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</si>
  <si>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</si>
  <si>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</si>
  <si>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</si>
  <si>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</si>
  <si>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</si>
  <si>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</si>
  <si>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</si>
  <si>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</si>
  <si>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</si>
  <si>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</si>
  <si>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</si>
  <si>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</si>
  <si>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</si>
  <si>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</si>
  <si>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</si>
  <si>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</si>
  <si>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</si>
  <si>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</si>
  <si>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</si>
  <si>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</si>
  <si>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</si>
  <si>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</si>
  <si>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</si>
  <si>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</si>
  <si>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</si>
  <si>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</si>
  <si>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</si>
  <si>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</si>
  <si>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</si>
  <si>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</si>
  <si>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</si>
  <si>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</si>
  <si>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</si>
  <si>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</si>
  <si>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</si>
  <si>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</si>
  <si>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</si>
  <si>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</si>
  <si>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</si>
  <si>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</si>
  <si>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</si>
  <si>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</si>
  <si>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</si>
  <si>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</si>
  <si>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</si>
  <si>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</si>
  <si>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</si>
  <si>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</si>
  <si>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</si>
  <si>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</si>
  <si>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</si>
  <si>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</si>
  <si>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</si>
  <si>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</si>
  <si>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</si>
  <si>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</si>
  <si>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</si>
  <si>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</si>
  <si>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</si>
  <si>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</si>
  <si>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</si>
  <si>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</si>
  <si>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</si>
  <si>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</si>
  <si>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</si>
  <si>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</si>
  <si>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</si>
  <si>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</si>
  <si>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</si>
  <si>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</si>
  <si>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</si>
  <si>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</si>
  <si>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</si>
  <si>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</si>
  <si>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</si>
  <si>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</si>
  <si>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</si>
  <si>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</si>
  <si>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</si>
  <si>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</si>
  <si>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</si>
  <si>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</si>
  <si>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</si>
  <si>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</si>
  <si>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</si>
  <si>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</si>
  <si>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</si>
  <si>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</si>
  <si>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</si>
  <si>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</si>
  <si>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</si>
  <si>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</si>
  <si>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</si>
  <si>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</si>
  <si>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</si>
  <si>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</si>
  <si>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</si>
  <si>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</si>
  <si>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</si>
  <si>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</si>
  <si>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</si>
  <si>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</si>
  <si>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</si>
  <si>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</si>
  <si>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</si>
  <si>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</si>
  <si>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</si>
  <si>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</si>
  <si>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</si>
  <si>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</si>
  <si>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</si>
  <si>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</si>
  <si>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</si>
  <si>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</si>
  <si>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</si>
  <si>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</si>
  <si>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</si>
  <si>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</si>
  <si>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</si>
  <si>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</si>
  <si>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</si>
  <si>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</si>
  <si>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</si>
  <si>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</si>
  <si>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</si>
  <si>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</si>
  <si>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</si>
  <si>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</si>
  <si>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</si>
  <si>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</si>
  <si>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</si>
  <si>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</si>
  <si>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</si>
  <si>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</si>
  <si>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</si>
  <si>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</si>
  <si>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</si>
  <si>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</si>
  <si>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</si>
  <si>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</si>
  <si>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</si>
  <si>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</si>
  <si>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</si>
  <si>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</si>
  <si>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</si>
  <si>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</si>
  <si>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</si>
  <si>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</si>
  <si>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</si>
  <si>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</si>
  <si>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</si>
  <si>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</si>
  <si>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</si>
  <si>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</si>
  <si>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</si>
  <si>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</si>
  <si>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</si>
  <si>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</si>
  <si>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</si>
  <si>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</si>
  <si>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</si>
  <si>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</si>
  <si>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</si>
  <si>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</si>
  <si>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</si>
  <si>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</si>
  <si>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</si>
  <si>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</si>
  <si>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</si>
  <si>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</si>
  <si>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</si>
  <si>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</si>
  <si>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</si>
  <si>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</si>
  <si>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</si>
  <si>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</si>
  <si>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</si>
  <si>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</si>
  <si>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</si>
  <si>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</si>
  <si>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</si>
  <si>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</si>
  <si>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</si>
  <si>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</si>
  <si>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</si>
  <si>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</si>
  <si>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</si>
  <si>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</si>
  <si>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</si>
  <si>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</si>
  <si>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</si>
  <si>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</si>
  <si>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</si>
  <si>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</si>
  <si>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</si>
  <si>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</si>
  <si>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</si>
  <si>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</si>
  <si>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</si>
  <si>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</si>
  <si>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</si>
  <si>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</si>
  <si>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</si>
  <si>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</si>
  <si>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</si>
  <si>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</si>
  <si>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</si>
  <si>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</si>
  <si>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</si>
  <si>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</si>
  <si>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</si>
  <si>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</si>
  <si>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</si>
  <si>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</si>
  <si>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</si>
  <si>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</si>
  <si>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</si>
  <si>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</si>
  <si>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</si>
  <si>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</si>
  <si>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</si>
  <si>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</si>
  <si>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</si>
  <si>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</si>
  <si>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</si>
  <si>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</si>
  <si>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</si>
  <si>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</si>
  <si>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</si>
  <si>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</si>
  <si>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</si>
  <si>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</si>
  <si>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</si>
  <si>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</si>
  <si>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</si>
  <si>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</si>
  <si>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</si>
  <si>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</si>
  <si>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</si>
  <si>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</si>
  <si>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</si>
  <si>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</si>
  <si>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</si>
  <si>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</si>
  <si>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</si>
  <si>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</si>
  <si>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</si>
  <si>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</si>
  <si>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</si>
  <si>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</si>
  <si>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</si>
  <si>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</si>
  <si>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</si>
  <si>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</si>
  <si>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</si>
  <si>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</si>
  <si>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</si>
  <si>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</si>
  <si>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</si>
  <si>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</si>
  <si>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</si>
  <si>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</si>
  <si>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</si>
  <si>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</si>
  <si>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</si>
  <si>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</si>
  <si>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</si>
  <si>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</si>
  <si>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</si>
  <si>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</si>
  <si>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</si>
  <si>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</si>
  <si>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</si>
  <si>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</si>
  <si>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</si>
  <si>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</si>
  <si>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</si>
  <si>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</si>
  <si>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</si>
  <si>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</si>
  <si>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</si>
  <si>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</si>
  <si>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</si>
  <si>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</si>
  <si>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</si>
  <si>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</si>
  <si>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</si>
  <si>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</si>
  <si>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</si>
  <si>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</si>
  <si>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</si>
  <si>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</si>
  <si>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</si>
  <si>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</si>
  <si>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</si>
  <si>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</si>
  <si>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</si>
  <si>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</si>
  <si>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</si>
  <si>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</si>
  <si>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</si>
  <si>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</si>
  <si>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</si>
  <si>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</si>
  <si>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</si>
  <si>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</si>
  <si>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</si>
  <si>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</si>
  <si>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</si>
  <si>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</si>
  <si>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</si>
  <si>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</si>
  <si>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</si>
  <si>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</si>
  <si>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</si>
  <si>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</si>
  <si>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</si>
  <si>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</si>
  <si>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</si>
  <si>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</si>
  <si>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</si>
  <si>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</si>
  <si>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</si>
  <si>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</si>
  <si>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</si>
  <si>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</si>
  <si>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</si>
  <si>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</si>
  <si>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</si>
  <si>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</si>
  <si>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</si>
  <si>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</si>
  <si>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</si>
  <si>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</si>
  <si>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</si>
  <si>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</si>
  <si>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</si>
  <si>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</si>
  <si>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</si>
  <si>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</si>
  <si>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</si>
  <si>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</si>
  <si>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</si>
  <si>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</si>
  <si>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</si>
  <si>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</si>
  <si>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</si>
  <si>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</si>
  <si>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</si>
  <si>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</si>
  <si>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</si>
  <si>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</si>
  <si>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</si>
  <si>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</si>
  <si>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</si>
  <si>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</si>
  <si>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</si>
  <si>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</si>
  <si>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</si>
  <si>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</si>
  <si>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</si>
  <si>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</si>
  <si>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</si>
  <si>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</si>
  <si>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</si>
  <si>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</si>
  <si>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</si>
  <si>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</si>
  <si>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</si>
  <si>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</si>
  <si>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</si>
  <si>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</si>
  <si>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</si>
  <si>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</si>
  <si>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</si>
  <si>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</si>
  <si>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</si>
  <si>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</si>
  <si>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</si>
  <si>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</si>
  <si>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</si>
  <si>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</si>
  <si>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</si>
  <si>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</si>
  <si>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</si>
  <si>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</si>
  <si>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</si>
  <si>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</si>
  <si>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</si>
  <si>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</si>
  <si>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</si>
  <si>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</si>
  <si>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</si>
  <si>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</si>
  <si>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</si>
  <si>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</si>
  <si>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</si>
  <si>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</si>
  <si>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</si>
  <si>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</si>
  <si>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</si>
  <si>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</si>
  <si>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</si>
  <si>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</si>
  <si>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</si>
  <si>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</si>
  <si>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</si>
  <si>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</si>
  <si>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</si>
  <si>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</si>
  <si>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</si>
  <si>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</si>
  <si>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</si>
  <si>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</si>
  <si>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</si>
  <si>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</si>
  <si>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</si>
  <si>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</si>
  <si>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</si>
  <si>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</si>
  <si>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</si>
  <si>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</si>
  <si>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</si>
  <si>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</si>
  <si>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</si>
  <si>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</si>
  <si>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</si>
  <si>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</si>
  <si>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</si>
  <si>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</si>
  <si>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</si>
  <si>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</si>
  <si>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</si>
  <si>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</si>
  <si>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</si>
  <si>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</si>
  <si>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</si>
  <si>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</si>
  <si>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</si>
  <si>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</si>
  <si>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</si>
  <si>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</si>
  <si>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</si>
  <si>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</si>
  <si>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</si>
  <si>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</si>
  <si>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</si>
  <si>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</si>
  <si>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</si>
  <si>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</si>
  <si>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</si>
  <si>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</si>
  <si>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</si>
  <si>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</si>
  <si>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</si>
  <si>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</si>
  <si>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</si>
  <si>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</si>
  <si>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</si>
  <si>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</si>
  <si>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</si>
  <si>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</si>
  <si>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</si>
  <si>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</si>
  <si>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</si>
  <si>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</si>
  <si>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</si>
  <si>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</si>
  <si>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</si>
  <si>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</si>
  <si>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</si>
  <si>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</si>
  <si>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</si>
  <si>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</si>
  <si>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</si>
  <si>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</si>
  <si>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</si>
  <si>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</si>
  <si>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</si>
  <si>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</si>
  <si>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</si>
  <si>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</si>
  <si>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</si>
  <si>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</si>
  <si>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</si>
  <si>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</si>
  <si>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</si>
  <si>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</si>
  <si>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</si>
  <si>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</si>
  <si>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</si>
  <si>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</si>
  <si>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</si>
  <si>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</si>
  <si>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</si>
  <si>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</si>
  <si>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</si>
  <si>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</si>
  <si>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</si>
  <si>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</si>
  <si>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</si>
  <si>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</si>
  <si>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</si>
  <si>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</si>
  <si>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</si>
  <si>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</si>
  <si>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</si>
  <si>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</si>
  <si>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</si>
  <si>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</si>
  <si>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</si>
  <si>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</si>
  <si>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</si>
  <si>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</si>
  <si>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</si>
  <si>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</si>
  <si>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</si>
  <si>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</si>
  <si>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</si>
  <si>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</si>
  <si>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</si>
  <si>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</si>
  <si>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</si>
  <si>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</si>
  <si>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</si>
  <si>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</si>
  <si>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</si>
  <si>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</si>
  <si>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</si>
  <si>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</si>
  <si>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</si>
  <si>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</si>
  <si>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</si>
  <si>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</si>
  <si>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</si>
  <si>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</si>
  <si>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</si>
  <si>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</si>
  <si>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</si>
  <si>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</si>
  <si>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</si>
  <si>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</si>
  <si>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</si>
  <si>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</si>
  <si>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</si>
  <si>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</si>
  <si>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</si>
  <si>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</si>
  <si>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</si>
  <si>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</si>
  <si>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</si>
  <si>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</si>
  <si>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</si>
  <si>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</si>
  <si>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</si>
  <si>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</si>
  <si>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</si>
  <si>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</si>
  <si>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</si>
  <si>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</si>
  <si>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</si>
  <si>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</si>
  <si>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</si>
  <si>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</si>
  <si>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</si>
  <si>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</si>
  <si>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</si>
  <si>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</si>
  <si>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</si>
  <si>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</si>
  <si>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</si>
  <si>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</si>
  <si>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</si>
  <si>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</si>
  <si>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</si>
  <si>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</si>
  <si>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</si>
  <si>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</si>
  <si>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</si>
  <si>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</si>
  <si>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</si>
  <si>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</si>
  <si>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</si>
  <si>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</si>
  <si>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</si>
  <si>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</si>
  <si>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</si>
  <si>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</si>
  <si>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</si>
  <si>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</si>
  <si>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</si>
  <si>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</si>
  <si>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</si>
  <si>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</si>
  <si>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</si>
  <si>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</si>
  <si>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</si>
  <si>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</si>
  <si>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</si>
  <si>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</si>
  <si>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</si>
  <si>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</si>
  <si>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</si>
  <si>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</si>
  <si>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</si>
  <si>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</si>
  <si>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</si>
  <si>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</si>
  <si>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</si>
  <si>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</si>
  <si>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</si>
  <si>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</si>
  <si>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</si>
  <si>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</si>
  <si>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</si>
  <si>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</si>
  <si>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</si>
  <si>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</si>
  <si>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</si>
  <si>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</si>
  <si>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</si>
  <si>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</si>
  <si>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</si>
  <si>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</si>
  <si>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</si>
  <si>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</si>
  <si>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</si>
  <si>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</si>
  <si>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</si>
  <si>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</si>
  <si>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</si>
  <si>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</si>
  <si>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</si>
  <si>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</si>
  <si>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</si>
  <si>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</si>
  <si>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</si>
  <si>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</si>
  <si>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</si>
  <si>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</si>
  <si>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</si>
  <si>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</si>
  <si>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</si>
  <si>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</si>
  <si>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</si>
  <si>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</si>
  <si>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</si>
  <si>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</si>
  <si>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</si>
  <si>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</si>
  <si>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</si>
  <si>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</si>
  <si>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</si>
  <si>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</si>
  <si>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</si>
  <si>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</si>
  <si>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</si>
  <si>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</si>
  <si>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</si>
  <si>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</si>
  <si>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</si>
  <si>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</si>
  <si>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</si>
  <si>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</si>
  <si>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</si>
  <si>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</si>
  <si>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</si>
  <si>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</si>
  <si>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</si>
  <si>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</si>
  <si>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</si>
  <si>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</si>
  <si>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</si>
  <si>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</si>
  <si>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</si>
  <si>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</si>
  <si>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</si>
  <si>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</si>
  <si>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</si>
  <si>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</si>
  <si>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</si>
  <si>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</si>
  <si>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</si>
  <si>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</si>
  <si>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</si>
  <si>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</si>
  <si>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</si>
  <si>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</si>
  <si>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</si>
  <si>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</si>
  <si>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</si>
  <si>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</si>
  <si>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</si>
  <si>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</si>
  <si>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</si>
  <si>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</si>
  <si>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</si>
  <si>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</si>
  <si>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</si>
  <si>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</si>
  <si>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</si>
  <si>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</si>
  <si>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</si>
  <si>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</si>
  <si>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</si>
  <si>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</si>
  <si>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</si>
  <si>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</si>
  <si>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</si>
  <si>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</si>
  <si>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</si>
  <si>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</si>
  <si>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</si>
  <si>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</si>
  <si>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</si>
  <si>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</si>
  <si>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</si>
  <si>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</si>
  <si>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</si>
  <si>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</si>
  <si>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</si>
  <si>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</si>
  <si>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</si>
  <si>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</si>
  <si>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</si>
  <si>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</si>
  <si>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</si>
  <si>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</si>
  <si>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</si>
  <si>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</si>
  <si>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</si>
  <si>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</si>
  <si>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</si>
  <si>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</si>
  <si>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</si>
  <si>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</si>
  <si>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</si>
  <si>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</si>
  <si>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</si>
  <si>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</si>
  <si>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</si>
  <si>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</si>
  <si>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</si>
  <si>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</si>
  <si>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</si>
  <si>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</si>
  <si>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</si>
  <si>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</si>
  <si>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</si>
  <si>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</si>
  <si>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</si>
  <si>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</si>
  <si>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</si>
  <si>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</si>
  <si>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</si>
  <si>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</si>
  <si>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</si>
  <si>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</si>
  <si>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</si>
  <si>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</si>
  <si>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</si>
  <si>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</si>
  <si>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</si>
  <si>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</si>
  <si>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</si>
  <si>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</si>
  <si>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</si>
  <si>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</si>
  <si>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</si>
  <si>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</si>
  <si>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</si>
  <si>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</si>
  <si>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</si>
  <si>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</si>
  <si>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</si>
  <si>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</si>
  <si>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</si>
  <si>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</si>
  <si>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</si>
  <si>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</si>
  <si>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</si>
  <si>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</si>
  <si>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</si>
  <si>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</si>
  <si>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</si>
  <si>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</si>
  <si>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</si>
  <si>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</si>
  <si>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</si>
  <si>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</si>
  <si>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</si>
  <si>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</si>
  <si>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</si>
  <si>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</si>
  <si>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</si>
  <si>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</si>
  <si>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</si>
  <si>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</si>
  <si>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</si>
  <si>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</si>
  <si>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</si>
  <si>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</si>
  <si>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</si>
  <si>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</si>
  <si>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</si>
  <si>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</si>
  <si>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</si>
  <si>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</si>
  <si>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</si>
  <si>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</si>
  <si>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</si>
  <si>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</si>
  <si>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</si>
  <si>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</si>
  <si>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</si>
  <si>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</si>
  <si>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</si>
  <si>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</si>
  <si>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</si>
  <si>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</si>
  <si>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</si>
  <si>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</si>
  <si>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</si>
  <si>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</si>
  <si>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</si>
  <si>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</si>
  <si>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</si>
  <si>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</si>
  <si>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</si>
  <si>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</si>
  <si>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</si>
  <si>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</si>
  <si>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</si>
  <si>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</si>
  <si>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</si>
  <si>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</si>
  <si>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</si>
  <si>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</si>
  <si>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</si>
  <si>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</si>
  <si>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</si>
  <si>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</si>
  <si>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</si>
  <si>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</si>
  <si>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</si>
  <si>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</si>
  <si>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</si>
  <si>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</si>
  <si>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</si>
  <si>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</si>
  <si>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</si>
  <si>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</si>
  <si>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</si>
  <si>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</si>
  <si>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</si>
  <si>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</si>
  <si>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</si>
  <si>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</si>
  <si>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</si>
  <si>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</si>
  <si>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</si>
  <si>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</si>
  <si>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</si>
  <si>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</si>
  <si>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</si>
  <si>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</si>
  <si>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</si>
  <si>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</si>
  <si>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</si>
  <si>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</si>
  <si>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</si>
  <si>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</si>
  <si>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</si>
  <si>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</si>
  <si>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</si>
  <si>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</si>
  <si>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</si>
  <si>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</si>
  <si>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</si>
  <si>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</si>
  <si>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</si>
  <si>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</si>
  <si>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</si>
  <si>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</si>
  <si>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</si>
  <si>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</si>
  <si>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</si>
  <si>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</si>
  <si>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</si>
  <si>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</si>
  <si>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</si>
  <si>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</si>
  <si>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</si>
  <si>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</si>
  <si>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</si>
  <si>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</si>
  <si>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</si>
  <si>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</si>
  <si>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</si>
  <si>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</si>
  <si>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</si>
  <si>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</si>
  <si>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</si>
  <si>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</si>
  <si>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</si>
  <si>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</si>
  <si>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</si>
  <si>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</si>
  <si>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</si>
  <si>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</si>
  <si>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</si>
  <si>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</si>
  <si>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</si>
  <si>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</si>
  <si>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</si>
  <si>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</si>
  <si>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</si>
  <si>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</si>
  <si>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</si>
  <si>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</si>
  <si>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</si>
  <si>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</si>
  <si>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</si>
  <si>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</si>
  <si>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</si>
  <si>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</si>
  <si>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</si>
  <si>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</si>
  <si>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</si>
  <si>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</si>
  <si>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</si>
  <si>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</si>
  <si>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</si>
  <si>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</si>
  <si>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</si>
  <si>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</si>
  <si>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</si>
  <si>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</si>
  <si>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</si>
  <si>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</si>
  <si>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</si>
  <si>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</si>
  <si>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</si>
  <si>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</si>
  <si>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</si>
  <si>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</si>
  <si>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</si>
  <si>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</si>
  <si>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</si>
  <si>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</si>
  <si>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</si>
  <si>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</si>
  <si>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</si>
  <si>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</si>
  <si>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</si>
  <si>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</si>
  <si>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</si>
  <si>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</si>
  <si>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</si>
  <si>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</si>
  <si>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</si>
  <si>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</si>
  <si>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</si>
  <si>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</si>
  <si>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</si>
  <si>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</si>
  <si>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</si>
  <si>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</si>
  <si>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</si>
  <si>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</si>
  <si>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</si>
  <si>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</si>
  <si>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</si>
  <si>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</si>
  <si>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</si>
  <si>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</si>
  <si>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</si>
  <si>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</si>
  <si>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</si>
  <si>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</si>
  <si>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</si>
  <si>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</si>
  <si>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</si>
  <si>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</si>
  <si>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</si>
  <si>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</si>
  <si>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</si>
  <si>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</si>
  <si>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</si>
  <si>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</si>
  <si>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</si>
  <si>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</si>
  <si>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</si>
  <si>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</si>
  <si>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</si>
  <si>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</si>
  <si>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</si>
  <si>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</si>
  <si>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</si>
  <si>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</si>
  <si>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</si>
  <si>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</si>
  <si>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</si>
  <si>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</si>
  <si>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</si>
  <si>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</si>
  <si>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</si>
  <si>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</si>
  <si>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</si>
  <si>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</si>
  <si>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</si>
  <si>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</si>
  <si>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</si>
  <si>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</si>
  <si>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</si>
  <si>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</si>
  <si>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</si>
  <si>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</si>
  <si>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</si>
  <si>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</si>
  <si>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</si>
  <si>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</si>
  <si>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</si>
  <si>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</si>
  <si>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</si>
  <si>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</si>
  <si>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</si>
  <si>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</si>
  <si>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</si>
  <si>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</si>
  <si>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</si>
  <si>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</si>
  <si>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</si>
  <si>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</si>
  <si>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</si>
  <si>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</si>
  <si>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</si>
  <si>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</si>
  <si>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</si>
  <si>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</si>
  <si>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</si>
  <si>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</si>
  <si>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</si>
  <si>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</si>
  <si>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</si>
  <si>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</si>
  <si>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</si>
  <si>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</si>
  <si>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</si>
  <si>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</si>
  <si>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</si>
  <si>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</si>
  <si>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</si>
  <si>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</si>
  <si>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</si>
  <si>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</si>
  <si>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</si>
  <si>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</si>
  <si>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</si>
  <si>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</si>
  <si>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</si>
  <si>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</si>
  <si>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</si>
  <si>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</si>
  <si>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</si>
  <si>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</si>
  <si>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</si>
  <si>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</si>
  <si>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</si>
  <si>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</si>
  <si>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</si>
  <si>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</si>
  <si>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</si>
  <si>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</si>
  <si>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</si>
  <si>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</si>
  <si>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</si>
  <si>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</si>
  <si>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</si>
  <si>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</si>
  <si>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</si>
  <si>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</si>
  <si>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</si>
  <si>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</si>
  <si>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</si>
  <si>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</si>
  <si>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</si>
  <si>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</si>
  <si>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</si>
  <si>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</si>
  <si>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</si>
  <si>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</si>
  <si>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</si>
  <si>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</si>
  <si>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</si>
  <si>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</si>
  <si>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</si>
  <si>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</si>
  <si>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</si>
  <si>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</si>
  <si>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</si>
  <si>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</si>
  <si>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</si>
  <si>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</si>
  <si>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</si>
  <si>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</si>
  <si>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</si>
  <si>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</si>
  <si>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</si>
  <si>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</si>
  <si>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</si>
  <si>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</si>
  <si>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</si>
  <si>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</si>
  <si>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</si>
  <si>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</si>
  <si>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</si>
  <si>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</si>
  <si>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</si>
  <si>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</si>
  <si>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</si>
  <si>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</si>
  <si>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</si>
  <si>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</si>
  <si>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</si>
  <si>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</si>
  <si>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</si>
  <si>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</si>
  <si>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</si>
  <si>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</si>
  <si>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</si>
  <si>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</si>
  <si>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</si>
  <si>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</si>
  <si>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</si>
  <si>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</si>
  <si>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</si>
  <si>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</si>
  <si>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</si>
  <si>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</si>
  <si>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</si>
  <si>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</si>
  <si>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</si>
  <si>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</si>
  <si>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</si>
  <si>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</si>
  <si>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</si>
  <si>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</si>
  <si>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</si>
  <si>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</si>
  <si>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</si>
  <si>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</si>
  <si>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</si>
  <si>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</si>
  <si>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</si>
  <si>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</si>
  <si>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</si>
  <si>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</si>
  <si>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</si>
  <si>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</si>
  <si>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</si>
  <si>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</si>
  <si>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</si>
  <si>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</si>
  <si>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</si>
  <si>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</si>
  <si>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</si>
  <si>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</si>
  <si>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</si>
  <si>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</si>
  <si>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</si>
  <si>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</si>
  <si>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</si>
  <si>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</si>
  <si>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</si>
  <si>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</si>
  <si>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</si>
  <si>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</si>
  <si>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</si>
  <si>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</si>
  <si>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</si>
  <si>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</si>
  <si>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</si>
  <si>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</si>
  <si>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</si>
  <si>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</si>
  <si>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</si>
  <si>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</si>
  <si>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</si>
  <si>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</si>
  <si>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</si>
  <si>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</si>
  <si>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</si>
  <si>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</si>
  <si>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</si>
  <si>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</si>
  <si>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</si>
  <si>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</si>
  <si>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</si>
  <si>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</si>
  <si>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</si>
  <si>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</si>
  <si>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</si>
  <si>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</si>
  <si>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</si>
  <si>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</si>
  <si>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</si>
  <si>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</si>
  <si>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</si>
  <si>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</si>
  <si>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</si>
  <si>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</si>
  <si>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</si>
  <si>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</si>
  <si>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</si>
  <si>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</si>
  <si>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</si>
  <si>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</si>
  <si>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</si>
  <si>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</si>
  <si>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</si>
  <si>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</si>
  <si>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</si>
  <si>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</si>
  <si>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</si>
  <si>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</si>
  <si>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</si>
  <si>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</si>
  <si>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</si>
  <si>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</si>
  <si>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</si>
  <si>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</si>
  <si>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</si>
  <si>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</si>
  <si>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</si>
  <si>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</si>
  <si>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</si>
  <si>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</si>
  <si>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</si>
  <si>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</si>
  <si>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</si>
  <si>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</si>
  <si>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</si>
  <si>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</si>
  <si>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</si>
  <si>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</si>
  <si>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</si>
  <si>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</si>
  <si>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</si>
  <si>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</si>
  <si>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</si>
  <si>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</si>
  <si>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</si>
  <si>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</si>
  <si>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</si>
  <si>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</si>
  <si>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</si>
  <si>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</si>
  <si>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</si>
  <si>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</si>
  <si>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</si>
  <si>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</si>
  <si>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</si>
  <si>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</si>
  <si>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</si>
  <si>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</si>
  <si>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</si>
  <si>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</si>
  <si>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</si>
  <si>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</si>
  <si>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</si>
  <si>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</si>
  <si>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</si>
  <si>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</si>
  <si>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</si>
  <si>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</si>
  <si>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</si>
  <si>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</si>
  <si>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</si>
  <si>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</si>
  <si>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</si>
  <si>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</si>
  <si>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</si>
  <si>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</si>
  <si>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</si>
  <si>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</si>
  <si>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</si>
  <si>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</si>
  <si>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</si>
  <si>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</si>
  <si>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</si>
  <si>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</si>
  <si>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</si>
  <si>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</si>
  <si>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</si>
  <si>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</si>
  <si>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</si>
  <si>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</si>
  <si>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</si>
  <si>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</si>
  <si>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</si>
  <si>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</si>
  <si>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</si>
  <si>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</si>
  <si>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</si>
  <si>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</si>
  <si>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</si>
  <si>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</si>
  <si>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</si>
  <si>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</si>
  <si>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</si>
  <si>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</si>
  <si>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</si>
  <si>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</si>
  <si>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</si>
  <si>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</si>
  <si>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</si>
  <si>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</si>
  <si>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</si>
  <si>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</si>
  <si>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</si>
  <si>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</si>
  <si>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</si>
  <si>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</si>
  <si>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</si>
  <si>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</si>
  <si>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</si>
  <si>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</si>
  <si>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</si>
  <si>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</si>
  <si>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</si>
  <si>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</si>
  <si>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</si>
  <si>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</si>
  <si>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</si>
  <si>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</si>
  <si>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</si>
  <si>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</si>
  <si>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</si>
  <si>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</si>
  <si>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</si>
  <si>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</si>
  <si>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</si>
  <si>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</si>
  <si>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</si>
  <si>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</si>
  <si>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</si>
  <si>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</si>
  <si>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</si>
  <si>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</si>
  <si>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</si>
  <si>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</si>
  <si>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</si>
  <si>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</si>
  <si>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</si>
  <si>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</si>
  <si>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</si>
  <si>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</si>
  <si>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</si>
  <si>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</si>
  <si>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</si>
  <si>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</si>
  <si>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</si>
  <si>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</si>
  <si>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</si>
  <si>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</si>
  <si>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</si>
  <si>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</si>
  <si>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</si>
  <si>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</si>
  <si>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</si>
  <si>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</si>
  <si>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</si>
  <si>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</si>
  <si>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</si>
  <si>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</si>
  <si>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</si>
  <si>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</si>
  <si>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</si>
  <si>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</si>
  <si>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</si>
  <si>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</si>
  <si>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</si>
  <si>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</si>
  <si>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</si>
  <si>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</si>
  <si>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</si>
  <si>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</si>
  <si>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</si>
  <si>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</si>
  <si>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</si>
  <si>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</si>
  <si>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</si>
  <si>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</si>
  <si>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</si>
  <si>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</si>
  <si>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</si>
  <si>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</si>
  <si>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</si>
  <si>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</si>
  <si>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</si>
  <si>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</si>
  <si>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</si>
  <si>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</si>
  <si>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</si>
  <si>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</si>
  <si>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</si>
  <si>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</si>
  <si>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</si>
  <si>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</si>
  <si>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</si>
  <si>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</si>
  <si>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</si>
  <si>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</si>
  <si>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</si>
  <si>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</si>
  <si>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</si>
  <si>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</si>
  <si>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</si>
  <si>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</si>
  <si>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</si>
  <si>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</si>
  <si>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</si>
  <si>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</si>
  <si>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</si>
  <si>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</si>
  <si>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</si>
  <si>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</si>
  <si>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</si>
  <si>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</si>
  <si>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</si>
  <si>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</si>
  <si>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</si>
  <si>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</si>
  <si>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</si>
  <si>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</si>
  <si>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</si>
  <si>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</si>
  <si>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</si>
  <si>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</si>
  <si>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</si>
  <si>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</si>
  <si>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</si>
  <si>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</si>
  <si>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</si>
  <si>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</si>
  <si>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</si>
  <si>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</si>
  <si>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</si>
  <si>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</si>
  <si>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</si>
  <si>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</si>
  <si>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</si>
  <si>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</si>
  <si>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</si>
  <si>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</si>
  <si>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</si>
  <si>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</si>
  <si>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</si>
  <si>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</si>
  <si>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</si>
  <si>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</si>
  <si>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</si>
  <si>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</si>
  <si>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</si>
  <si>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</si>
  <si>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</si>
  <si>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</si>
  <si>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</si>
  <si>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</si>
  <si>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</si>
  <si>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</si>
  <si>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</si>
  <si>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</si>
  <si>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</si>
  <si>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</si>
  <si>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</si>
  <si>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</si>
  <si>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</si>
  <si>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</si>
  <si>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</si>
  <si>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</si>
  <si>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</si>
  <si>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</si>
  <si>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</si>
  <si>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</si>
  <si>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</si>
  <si>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</si>
  <si>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</si>
  <si>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</si>
  <si>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</si>
  <si>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</si>
  <si>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</si>
  <si>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</si>
  <si>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</si>
  <si>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</si>
  <si>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</si>
  <si>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</si>
  <si>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</si>
  <si>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</si>
  <si>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</si>
  <si>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</si>
  <si>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</si>
  <si>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</si>
  <si>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</si>
  <si>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</si>
  <si>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</si>
  <si>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</si>
  <si>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</si>
  <si>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</si>
  <si>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</si>
  <si>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</si>
  <si>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</si>
  <si>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</si>
  <si>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</si>
  <si>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</si>
  <si>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</si>
  <si>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</si>
  <si>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</si>
  <si>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</si>
  <si>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</si>
  <si>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</si>
  <si>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</si>
  <si>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</si>
  <si>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</si>
  <si>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</si>
  <si>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</si>
  <si>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</si>
  <si>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</si>
  <si>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</si>
  <si>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</si>
  <si>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</si>
  <si>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</si>
  <si>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</si>
  <si>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</si>
  <si>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</si>
  <si>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</si>
  <si>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</si>
  <si>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</si>
  <si>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</si>
  <si>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</si>
  <si>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</si>
  <si>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</si>
  <si>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</si>
  <si>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</si>
  <si>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</si>
  <si>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</si>
  <si>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</si>
  <si>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</si>
  <si>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</si>
  <si>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</si>
  <si>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</si>
  <si>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</si>
  <si>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</si>
  <si>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</si>
  <si>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</si>
  <si>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</si>
  <si>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</si>
  <si>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</si>
  <si>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</si>
  <si>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</si>
  <si>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</si>
  <si>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</si>
  <si>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</si>
  <si>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</si>
  <si>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</si>
  <si>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</si>
  <si>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</si>
  <si>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</si>
  <si>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</si>
  <si>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</si>
  <si>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</si>
  <si>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</si>
  <si>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</si>
  <si>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</si>
  <si>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</si>
  <si>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</si>
  <si>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</si>
  <si>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</si>
  <si>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</si>
  <si>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</si>
  <si>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</si>
  <si>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</si>
  <si>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</si>
  <si>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</si>
  <si>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</si>
  <si>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</si>
  <si>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</si>
  <si>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</si>
  <si>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</si>
  <si>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</si>
  <si>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</si>
  <si>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</si>
  <si>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</si>
  <si>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</si>
  <si>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</si>
  <si>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</si>
  <si>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</si>
  <si>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</si>
  <si>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</si>
  <si>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</si>
  <si>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</si>
  <si>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</si>
  <si>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</si>
  <si>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</si>
  <si>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</si>
  <si>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</si>
  <si>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</si>
  <si>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</si>
  <si>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</si>
  <si>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</si>
  <si>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</si>
  <si>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</si>
  <si>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</si>
  <si>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</si>
  <si>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</si>
  <si>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</si>
  <si>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</si>
  <si>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</si>
  <si>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</si>
  <si>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</si>
  <si>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</si>
  <si>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</si>
  <si>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</si>
  <si>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</si>
  <si>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</si>
  <si>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</si>
  <si>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</si>
  <si>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</si>
  <si>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</si>
  <si>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</si>
  <si>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</si>
  <si>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</si>
  <si>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</si>
  <si>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</si>
  <si>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</si>
  <si>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</si>
  <si>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</si>
  <si>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</si>
  <si>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</si>
  <si>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</si>
  <si>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</si>
  <si>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</si>
  <si>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</si>
  <si>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</si>
  <si>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</si>
  <si>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</si>
  <si>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</si>
  <si>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</si>
  <si>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</si>
  <si>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</si>
  <si>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</si>
  <si>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</si>
  <si>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</si>
  <si>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</si>
  <si>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</si>
  <si>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</si>
  <si>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</si>
  <si>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</si>
  <si>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</si>
  <si>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</si>
  <si>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</si>
  <si>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</si>
  <si>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</si>
  <si>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</si>
  <si>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</si>
  <si>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</si>
  <si>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</si>
  <si>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</si>
  <si>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</si>
  <si>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</si>
  <si>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</si>
  <si>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</si>
  <si>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</si>
  <si>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</si>
  <si>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</si>
  <si>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</si>
  <si>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</si>
  <si>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</si>
  <si>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</si>
  <si>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</si>
  <si>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</si>
  <si>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</si>
  <si>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</si>
  <si>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</si>
  <si>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</si>
  <si>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</si>
  <si>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</si>
  <si>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</si>
  <si>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</si>
  <si>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</si>
  <si>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</si>
  <si>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</si>
  <si>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</si>
  <si>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</si>
  <si>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</si>
  <si>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</si>
  <si>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</si>
  <si>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</si>
  <si>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</si>
  <si>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</si>
  <si>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</si>
  <si>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</si>
  <si>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</si>
  <si>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</si>
  <si>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</si>
  <si>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</si>
  <si>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</si>
  <si>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</si>
  <si>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</si>
  <si>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</si>
  <si>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</si>
  <si>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</si>
  <si>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</si>
  <si>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</si>
  <si>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</si>
  <si>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</si>
  <si>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</si>
  <si>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</si>
  <si>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</si>
  <si>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</si>
  <si>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</si>
  <si>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</si>
  <si>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</si>
  <si>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</si>
  <si>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</si>
  <si>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</si>
  <si>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</si>
  <si>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</si>
  <si>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</si>
  <si>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</si>
  <si>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</si>
  <si>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</si>
  <si>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</si>
  <si>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</si>
  <si>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</si>
  <si>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</si>
  <si>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</si>
  <si>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</si>
  <si>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</si>
  <si>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</si>
  <si>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</si>
  <si>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</si>
  <si>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</si>
  <si>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</si>
  <si>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</si>
  <si>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</si>
  <si>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</si>
  <si>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</si>
  <si>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</si>
  <si>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</si>
  <si>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</si>
  <si>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</si>
  <si>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</si>
  <si>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</si>
  <si>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</si>
  <si>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</si>
  <si>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</si>
  <si>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</si>
  <si>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</si>
  <si>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</si>
  <si>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</si>
  <si>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</si>
  <si>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</si>
  <si>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</si>
  <si>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</si>
  <si>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</si>
  <si>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</si>
  <si>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</si>
  <si>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</si>
  <si>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</si>
  <si>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</si>
  <si>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</si>
  <si>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</si>
  <si>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</si>
  <si>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</si>
  <si>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</si>
  <si>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</si>
  <si>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</si>
  <si>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</si>
  <si>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</si>
  <si>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</si>
  <si>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</si>
  <si>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</si>
  <si>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</si>
  <si>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</si>
  <si>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</si>
  <si>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</si>
  <si>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</si>
  <si>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</si>
  <si>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</si>
  <si>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</si>
  <si>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</si>
  <si>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</si>
  <si>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</si>
  <si>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</si>
  <si>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</si>
  <si>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</si>
  <si>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</si>
  <si>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</si>
  <si>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</si>
  <si>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</si>
  <si>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</si>
  <si>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</si>
  <si>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</si>
  <si>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</si>
  <si>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</si>
  <si>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</si>
  <si>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</si>
  <si>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</si>
  <si>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</si>
  <si>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</si>
  <si>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</si>
  <si>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</si>
  <si>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</si>
  <si>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</si>
  <si>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</si>
  <si>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</si>
  <si>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</si>
  <si>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</si>
  <si>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</si>
  <si>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</si>
  <si>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</si>
  <si>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</si>
  <si>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</si>
  <si>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</si>
  <si>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</si>
  <si>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</si>
  <si>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</si>
  <si>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</si>
  <si>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</si>
  <si>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</si>
  <si>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</si>
  <si>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</si>
  <si>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</si>
  <si>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</si>
  <si>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</si>
  <si>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</si>
  <si>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</si>
  <si>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</si>
  <si>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</si>
  <si>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</si>
  <si>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</si>
  <si>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</si>
  <si>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</si>
  <si>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</si>
  <si>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</si>
  <si>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</si>
  <si>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</si>
  <si>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</si>
  <si>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</si>
  <si>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</si>
  <si>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</si>
  <si>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</si>
  <si>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</si>
  <si>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</si>
  <si>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</si>
  <si>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</si>
  <si>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</si>
  <si>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</si>
  <si>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</si>
  <si>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</si>
  <si>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</si>
  <si>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</si>
  <si>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</si>
  <si>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</si>
  <si>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</si>
  <si>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</si>
  <si>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</si>
  <si>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</si>
  <si>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</si>
  <si>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</si>
  <si>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</si>
  <si>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</si>
  <si>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</si>
  <si>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</si>
  <si>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</si>
  <si>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</si>
  <si>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</si>
  <si>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</si>
  <si>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</si>
  <si>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</si>
  <si>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</si>
  <si>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</si>
  <si>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</si>
  <si>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</si>
  <si>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</si>
  <si>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</si>
  <si>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</si>
  <si>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</si>
  <si>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</si>
  <si>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</si>
  <si>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</si>
  <si>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</si>
  <si>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</si>
  <si>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</si>
  <si>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</si>
  <si>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</si>
  <si>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</si>
  <si>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</si>
  <si>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</si>
  <si>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</si>
  <si>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</si>
  <si>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</si>
  <si>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</si>
  <si>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</si>
  <si>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</si>
  <si>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</si>
  <si>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</si>
  <si>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</si>
  <si>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</si>
  <si>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</si>
  <si>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</si>
  <si>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</si>
  <si>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</si>
  <si>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</si>
  <si>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</si>
  <si>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</si>
  <si>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</si>
  <si>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</si>
  <si>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</si>
  <si>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</si>
  <si>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</si>
  <si>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</si>
  <si>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</si>
  <si>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</si>
  <si>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</si>
  <si>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</si>
  <si>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</si>
  <si>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</si>
  <si>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</si>
  <si>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</si>
  <si>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</si>
  <si>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</si>
  <si>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</si>
  <si>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</si>
  <si>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</si>
  <si>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</si>
  <si>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</si>
  <si>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</si>
  <si>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</si>
  <si>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</si>
  <si>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</si>
  <si>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</si>
  <si>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</si>
  <si>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</si>
  <si>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</si>
  <si>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</si>
  <si>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</si>
  <si>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</si>
  <si>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</si>
  <si>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</si>
  <si>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</si>
  <si>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</si>
  <si>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</si>
  <si>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</si>
  <si>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</si>
  <si>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</si>
  <si>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</si>
  <si>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</si>
  <si>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</si>
  <si>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</si>
  <si>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</si>
  <si>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</si>
  <si>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</si>
  <si>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</si>
  <si>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</si>
  <si>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</si>
  <si>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</si>
  <si>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</si>
  <si>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</si>
  <si>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</si>
  <si>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</si>
  <si>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</si>
  <si>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</si>
  <si>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</si>
  <si>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</si>
  <si>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</si>
  <si>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</si>
  <si>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</si>
  <si>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</si>
  <si>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</si>
  <si>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</si>
  <si>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</si>
  <si>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</si>
  <si>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</si>
  <si>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</si>
  <si>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</si>
  <si>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</si>
  <si>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</si>
  <si>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</si>
  <si>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</si>
  <si>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</si>
  <si>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</si>
  <si>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</si>
  <si>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</si>
  <si>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</si>
  <si>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</si>
  <si>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</si>
  <si>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</si>
  <si>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</si>
  <si>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</si>
  <si>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</si>
  <si>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</si>
  <si>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</si>
  <si>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</si>
  <si>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</si>
  <si>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</si>
  <si>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</si>
  <si>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</si>
  <si>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</si>
  <si>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</si>
  <si>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</si>
  <si>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</si>
  <si>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</si>
  <si>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</si>
  <si>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</si>
  <si>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</si>
  <si>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</si>
  <si>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</si>
  <si>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</si>
  <si>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</si>
  <si>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</si>
  <si>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</si>
  <si>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</si>
  <si>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</si>
  <si>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</si>
  <si>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</si>
  <si>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</si>
  <si>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</si>
  <si>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</si>
  <si>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</si>
  <si>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</si>
  <si>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</si>
  <si>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</si>
  <si>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</si>
  <si>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</si>
  <si>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</si>
  <si>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</si>
  <si>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</si>
  <si>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</si>
  <si>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</si>
  <si>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</si>
  <si>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</si>
  <si>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</si>
  <si>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</si>
  <si>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</si>
  <si>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</si>
  <si>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</si>
  <si>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</si>
  <si>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</si>
  <si>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</si>
  <si>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</si>
  <si>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</si>
  <si>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</si>
  <si>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</si>
  <si>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</si>
  <si>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</si>
  <si>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</si>
  <si>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</si>
  <si>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</si>
  <si>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</si>
  <si>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</si>
  <si>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</si>
  <si>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</si>
  <si>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</si>
  <si>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</si>
  <si>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</si>
  <si>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</si>
  <si>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</si>
  <si>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</si>
  <si>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</si>
  <si>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</si>
  <si>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</si>
  <si>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</si>
  <si>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</si>
  <si>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</si>
  <si>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</si>
  <si>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</si>
  <si>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</si>
  <si>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</si>
  <si>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</si>
  <si>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</si>
  <si>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</si>
  <si>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</si>
  <si>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</si>
  <si>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</si>
  <si>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</si>
  <si>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</si>
  <si>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</si>
  <si>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</si>
  <si>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</si>
  <si>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</si>
  <si>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</si>
  <si>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</si>
  <si>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</si>
  <si>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</si>
  <si>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</si>
  <si>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</si>
  <si>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</si>
  <si>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</si>
  <si>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</si>
  <si>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</si>
  <si>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</si>
  <si>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</si>
  <si>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</si>
  <si>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</si>
  <si>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</si>
  <si>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</si>
  <si>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</si>
  <si>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</si>
  <si>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</si>
  <si>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</si>
  <si>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</si>
  <si>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</si>
  <si>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</si>
  <si>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</si>
  <si>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</si>
  <si>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</si>
  <si>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</si>
  <si>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</si>
  <si>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</si>
  <si>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</si>
  <si>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</si>
  <si>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</si>
  <si>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</si>
  <si>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</si>
  <si>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</si>
  <si>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</si>
  <si>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</si>
  <si>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</si>
  <si>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</si>
  <si>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</si>
  <si>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</si>
  <si>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</si>
  <si>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</si>
  <si>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</si>
  <si>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</si>
  <si>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</si>
  <si>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</si>
  <si>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</si>
  <si>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</si>
  <si>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</si>
  <si>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</si>
  <si>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</si>
  <si>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</si>
  <si>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</si>
  <si>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</si>
  <si>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</si>
  <si>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</si>
  <si>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</si>
  <si>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</si>
  <si>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</si>
  <si>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</si>
  <si>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</si>
  <si>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</si>
  <si>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</si>
  <si>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</si>
  <si>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</si>
  <si>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</si>
  <si>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</si>
  <si>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</si>
  <si>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</si>
  <si>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</si>
  <si>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</si>
  <si>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</si>
  <si>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</si>
  <si>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</si>
  <si>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</si>
  <si>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</si>
  <si>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</si>
  <si>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</si>
  <si>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</si>
  <si>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</si>
  <si>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</si>
  <si>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</si>
  <si>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</si>
  <si>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</si>
  <si>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</si>
  <si>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</si>
  <si>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</si>
  <si>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</si>
  <si>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</si>
  <si>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</si>
  <si>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</si>
  <si>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</si>
  <si>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</si>
  <si>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</si>
  <si>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</si>
  <si>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</si>
  <si>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</si>
  <si>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</si>
  <si>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</si>
  <si>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</si>
  <si>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</si>
  <si>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</si>
  <si>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</si>
  <si>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</si>
  <si>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</si>
  <si>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</si>
  <si>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</si>
  <si>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</si>
  <si>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</si>
  <si>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</si>
  <si>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</si>
  <si>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</si>
  <si>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</si>
  <si>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</si>
  <si>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</si>
  <si>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car</t>
  </si>
  <si>
    <t>PHEV35</t>
  </si>
  <si>
    <t>PHEV50</t>
  </si>
  <si>
    <t>truck</t>
  </si>
  <si>
    <t>Powertrain</t>
  </si>
  <si>
    <t>AER bucket</t>
  </si>
  <si>
    <t>Total US sales (2022)</t>
  </si>
  <si>
    <t>EPA OMEGA 2.5.0 model supporting 2024 Final Rulemaking for Emission Standards of LDVs in the US - Total sales in 2022</t>
  </si>
  <si>
    <t>Market shares</t>
  </si>
  <si>
    <t>2021-2050 Min New Capacity (% share) - based on 2022 sales in the US</t>
  </si>
  <si>
    <t>Min new capacity share</t>
  </si>
  <si>
    <t>Battery electric car</t>
  </si>
  <si>
    <t>150-mile AER</t>
  </si>
  <si>
    <t>200-mile AER</t>
  </si>
  <si>
    <t>300-mile AER</t>
  </si>
  <si>
    <t>400-mile AER</t>
  </si>
  <si>
    <t>Plug-in hybrid car</t>
  </si>
  <si>
    <t>35-mile AER</t>
  </si>
  <si>
    <t>50-mile AER</t>
  </si>
  <si>
    <t>Battery electric light truck</t>
  </si>
  <si>
    <t>Plug-in hybrid light truck</t>
  </si>
  <si>
    <r>
      <rPr>
        <b/>
        <sz val="11"/>
        <color theme="1"/>
        <rFont val="Calibri"/>
        <family val="2"/>
        <scheme val="minor"/>
      </rPr>
      <t>Emissions accounting:</t>
    </r>
    <r>
      <rPr>
        <sz val="11"/>
        <color theme="1"/>
        <rFont val="Calibri"/>
        <family val="2"/>
        <scheme val="minor"/>
      </rPr>
      <t xml:space="preserve"> Fuel-cycle emissions (well-to-wheel) + Vehicle-cycle emissions (from production and manufacturing)</t>
    </r>
  </si>
  <si>
    <r>
      <rPr>
        <b/>
        <sz val="11"/>
        <color theme="1"/>
        <rFont val="Calibri"/>
        <family val="2"/>
        <scheme val="minor"/>
      </rPr>
      <t>H2 production representation: E</t>
    </r>
    <r>
      <rPr>
        <sz val="11"/>
        <color theme="1"/>
        <rFont val="Calibri"/>
        <family val="2"/>
        <scheme val="minor"/>
      </rPr>
      <t>ndogenous SMR w/ and w/o CCS and ALK and PEM electrolysis</t>
    </r>
  </si>
  <si>
    <r>
      <rPr>
        <b/>
        <sz val="12"/>
        <color theme="1"/>
        <rFont val="Calibri"/>
        <family val="2"/>
        <scheme val="minor"/>
      </rPr>
      <t>Last update:</t>
    </r>
    <r>
      <rPr>
        <sz val="12"/>
        <color theme="1"/>
        <rFont val="Calibri"/>
        <family val="2"/>
        <scheme val="minor"/>
      </rPr>
      <t xml:space="preserve"> June 2025</t>
    </r>
  </si>
  <si>
    <t>Vanilla Model (w/ car-to-light-truck demand shift)</t>
  </si>
  <si>
    <t>Historical travel demand</t>
  </si>
  <si>
    <t>Projected travel demand</t>
  </si>
  <si>
    <t>CAGR (2000-2019)</t>
  </si>
  <si>
    <t>Total light passenger demand</t>
  </si>
  <si>
    <t>Projection has been modified to account for the market shift from cars to light trucks, using a CAGR of -0.45% calculated from historical demand between 2000-2019. 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</si>
  <si>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Projection has been modified to account for the difference in total light passenger travel that would otherwise need to be met under regular GDP growth projection. 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</si>
</sst>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9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0" fillId="0" borderId="0" xfId="0" applyAlignment="1">
      <alignment horizontal="left"/>
    </xf>
    <xf numFmtId="1" fontId="0" fillId="0" borderId="2" xfId="0" applyNumberFormat="1" applyBorder="1"/>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5" xfId="0" applyFont="1" applyBorder="1" applyAlignment="1">
      <alignment horizontal="center"/>
    </xf>
    <xf numFmtId="0" fontId="2" fillId="0" borderId="7"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(2019=1)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131.34845296920878</c:v>
                </c:pt>
                <c:pt idx="4">
                  <c:v>146.20558492426818</c:v>
                </c:pt>
                <c:pt idx="5">
                  <c:v>157.48684752538432</c:v>
                </c:pt>
                <c:pt idx="6">
                  <c:v>168.83266974013475</c:v>
                </c:pt>
                <c:pt idx="7">
                  <c:v>180.01173682153157</c:v>
                </c:pt>
                <c:pt idx="8">
                  <c:v>192.75581600983986</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133.04419524678167</c:v>
                </c:pt>
                <c:pt idx="4">
                  <c:v>148.0931365928933</c:v>
                </c:pt>
                <c:pt idx="5">
                  <c:v>159.52004319288926</c:v>
                </c:pt>
                <c:pt idx="6">
                  <c:v>171.01234288772</c:v>
                </c:pt>
                <c:pt idx="7">
                  <c:v>182.33573459757815</c:v>
                </c:pt>
                <c:pt idx="8">
                  <c:v>195.24434312277489</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98.864968730656543</c:v>
                </c:pt>
                <c:pt idx="4">
                  <c:v>110.04781750397647</c:v>
                </c:pt>
                <c:pt idx="5">
                  <c:v>118.53913696065199</c:v>
                </c:pt>
                <c:pt idx="6">
                  <c:v>127.07904994118663</c:v>
                </c:pt>
                <c:pt idx="7">
                  <c:v>135.49344761741429</c:v>
                </c:pt>
                <c:pt idx="8">
                  <c:v>145.08581785072394</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20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Travel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NRCan EUD - Historical travel demand</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a:t>Travel demand (millions)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End-use</a:t>
            </a:r>
            <a:r>
              <a:rPr lang="en-CA" baseline="0"/>
              <a:t> demand projections, light passenger travel accounts for car-truck market shift using CAGR of cars from 2000-2019</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c:v>117.6630821380305</c:v>
                </c:pt>
                <c:pt idx="4">
                  <c:v>115.05594473971129</c:v>
                </c:pt>
                <c:pt idx="5">
                  <c:v>112.5065753795074</c:v>
                </c:pt>
                <c:pt idx="6">
                  <c:v>110.01369405344595</c:v>
                </c:pt>
                <c:pt idx="7">
                  <c:v>107.57604911943415</c:v>
                </c:pt>
                <c:pt idx="8">
                  <c:v>105.19241666882668</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c:v>146.72956607795993</c:v>
                </c:pt>
                <c:pt idx="4">
                  <c:v>179.24277677745019</c:v>
                </c:pt>
                <c:pt idx="5">
                  <c:v>204.50031533876614</c:v>
                </c:pt>
                <c:pt idx="6">
                  <c:v>229.83131857440884</c:v>
                </c:pt>
                <c:pt idx="7">
                  <c:v>254.77142229967561</c:v>
                </c:pt>
                <c:pt idx="8">
                  <c:v>282.80774246378803</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c:v>98.864968730656543</c:v>
                </c:pt>
                <c:pt idx="4">
                  <c:v>110.04781750397647</c:v>
                </c:pt>
                <c:pt idx="5">
                  <c:v>118.53913696065199</c:v>
                </c:pt>
                <c:pt idx="6">
                  <c:v>127.07904994118663</c:v>
                </c:pt>
                <c:pt idx="7">
                  <c:v>135.49344761741429</c:v>
                </c:pt>
                <c:pt idx="8">
                  <c:v>145.08581785072394</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ax val="30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Travel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133350</xdr:colOff>
      <xdr:row>6</xdr:row>
      <xdr:rowOff>14286</xdr:rowOff>
    </xdr:from>
    <xdr:to>
      <xdr:col>44</xdr:col>
      <xdr:colOff>180975</xdr:colOff>
      <xdr:row>24</xdr:row>
      <xdr:rowOff>180974</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647699</xdr:colOff>
      <xdr:row>34</xdr:row>
      <xdr:rowOff>174625</xdr:rowOff>
    </xdr:from>
    <xdr:to>
      <xdr:col>41</xdr:col>
      <xdr:colOff>666749</xdr:colOff>
      <xdr:row>56</xdr:row>
      <xdr:rowOff>38100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276225</xdr:colOff>
      <xdr:row>62</xdr:row>
      <xdr:rowOff>147637</xdr:rowOff>
    </xdr:from>
    <xdr:to>
      <xdr:col>48</xdr:col>
      <xdr:colOff>561975</xdr:colOff>
      <xdr:row>86</xdr:row>
      <xdr:rowOff>142875</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xdr:col>
      <xdr:colOff>336549</xdr:colOff>
      <xdr:row>34</xdr:row>
      <xdr:rowOff>114300</xdr:rowOff>
    </xdr:from>
    <xdr:to>
      <xdr:col>53</xdr:col>
      <xdr:colOff>676275</xdr:colOff>
      <xdr:row>56</xdr:row>
      <xdr:rowOff>28575</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5" workbookViewId="0">
      <selection activeCell="C18" sqref="C18"/>
    </sheetView>
  </sheetViews>
  <sheetFormatPr defaultColWidth="8.7109375" defaultRowHeight="15" x14ac:dyDescent="0.25"/>
  <cols>
    <col min="1" max="1" width="8.7109375" style="579"/>
    <col min="2" max="2" width="1.7109375" style="579" customWidth="1"/>
    <col min="3" max="3" width="113.42578125" style="579" customWidth="1"/>
    <col min="4" max="16384" width="8.7109375" style="579"/>
  </cols>
  <sheetData>
    <row r="1" spans="3:3" x14ac:dyDescent="0.25">
      <c r="C1" s="579" t="s">
        <v>2947</v>
      </c>
    </row>
    <row r="2" spans="3:3" ht="23.25" x14ac:dyDescent="0.35">
      <c r="C2" s="580" t="s">
        <v>2164</v>
      </c>
    </row>
    <row r="3" spans="3:3" ht="21" x14ac:dyDescent="0.35">
      <c r="C3" s="581" t="s">
        <v>4254</v>
      </c>
    </row>
    <row r="4" spans="3:3" ht="18.75" x14ac:dyDescent="0.3">
      <c r="C4" s="582" t="s">
        <v>2163</v>
      </c>
    </row>
    <row r="5" spans="3:3" x14ac:dyDescent="0.25">
      <c r="C5" s="583"/>
    </row>
    <row r="6" spans="3:3" ht="15.75" x14ac:dyDescent="0.25">
      <c r="C6" s="584" t="s">
        <v>2165</v>
      </c>
    </row>
    <row r="7" spans="3:3" ht="15.75" x14ac:dyDescent="0.25">
      <c r="C7" s="585" t="s">
        <v>2166</v>
      </c>
    </row>
    <row r="8" spans="3:3" ht="15.75" x14ac:dyDescent="0.25">
      <c r="C8" s="585" t="s">
        <v>2167</v>
      </c>
    </row>
    <row r="9" spans="3:3" x14ac:dyDescent="0.25">
      <c r="C9" s="583"/>
    </row>
    <row r="10" spans="3:3" ht="15.75" x14ac:dyDescent="0.25">
      <c r="C10" s="585" t="s">
        <v>2168</v>
      </c>
    </row>
    <row r="11" spans="3:3" ht="15.75" x14ac:dyDescent="0.25">
      <c r="C11" s="585" t="s">
        <v>2169</v>
      </c>
    </row>
    <row r="12" spans="3:3" ht="15.75" x14ac:dyDescent="0.25">
      <c r="C12" s="585" t="s">
        <v>4887</v>
      </c>
    </row>
    <row r="13" spans="3:3" ht="15.75" x14ac:dyDescent="0.25">
      <c r="C13" s="585"/>
    </row>
    <row r="14" spans="3:3" ht="15.75" x14ac:dyDescent="0.25">
      <c r="C14" s="585" t="s">
        <v>2170</v>
      </c>
    </row>
    <row r="15" spans="3:3" ht="15.75" x14ac:dyDescent="0.25">
      <c r="C15" s="585" t="s">
        <v>4277</v>
      </c>
    </row>
    <row r="16" spans="3:3" x14ac:dyDescent="0.25">
      <c r="C16" s="579" t="s">
        <v>2947</v>
      </c>
    </row>
    <row r="17" spans="1:3" ht="18.75" x14ac:dyDescent="0.3">
      <c r="C17" s="586" t="s">
        <v>4888</v>
      </c>
    </row>
    <row r="18" spans="1:3" x14ac:dyDescent="0.25">
      <c r="C18" s="579" t="s">
        <v>4275</v>
      </c>
    </row>
    <row r="19" spans="1:3" x14ac:dyDescent="0.25">
      <c r="C19" s="579" t="s">
        <v>4276</v>
      </c>
    </row>
    <row r="20" spans="1:3" x14ac:dyDescent="0.25">
      <c r="C20" s="579" t="s">
        <v>4885</v>
      </c>
    </row>
    <row r="21" spans="1:3" x14ac:dyDescent="0.25">
      <c r="C21" s="579" t="s">
        <v>2946</v>
      </c>
    </row>
    <row r="22" spans="1:3" x14ac:dyDescent="0.25">
      <c r="C22" s="579" t="s">
        <v>4886</v>
      </c>
    </row>
    <row r="23" spans="1:3" x14ac:dyDescent="0.25">
      <c r="C23" s="587" t="s">
        <v>4274</v>
      </c>
    </row>
    <row r="24" spans="1:3" x14ac:dyDescent="0.25">
      <c r="C24" s="579" t="s">
        <v>2947</v>
      </c>
    </row>
    <row r="25" spans="1:3" ht="18.75" x14ac:dyDescent="0.3">
      <c r="C25" s="586" t="s">
        <v>2171</v>
      </c>
    </row>
    <row r="26" spans="1:3" ht="90" x14ac:dyDescent="0.25">
      <c r="C26" s="588" t="s">
        <v>2703</v>
      </c>
    </row>
    <row r="27" spans="1:3" x14ac:dyDescent="0.25">
      <c r="C27" s="588"/>
    </row>
    <row r="28" spans="1:3" ht="18.75" x14ac:dyDescent="0.3">
      <c r="C28" s="586" t="s">
        <v>2704</v>
      </c>
    </row>
    <row r="29" spans="1:3" x14ac:dyDescent="0.25">
      <c r="A29" s="587" t="s">
        <v>2705</v>
      </c>
      <c r="C29" s="756" t="s">
        <v>0</v>
      </c>
    </row>
    <row r="30" spans="1:3" x14ac:dyDescent="0.25">
      <c r="A30" s="283"/>
      <c r="C30" s="579" t="s">
        <v>2706</v>
      </c>
    </row>
    <row r="31" spans="1:3" x14ac:dyDescent="0.25">
      <c r="A31" s="74"/>
      <c r="C31" s="579" t="s">
        <v>2707</v>
      </c>
    </row>
    <row r="32" spans="1:3" x14ac:dyDescent="0.25">
      <c r="A32" s="757"/>
      <c r="C32" s="579" t="s">
        <v>2708</v>
      </c>
    </row>
    <row r="34" spans="1:3" ht="18.75" x14ac:dyDescent="0.3">
      <c r="C34" s="586" t="s">
        <v>2702</v>
      </c>
    </row>
    <row r="35" spans="1:3" x14ac:dyDescent="0.25">
      <c r="A35" s="587" t="s">
        <v>2172</v>
      </c>
      <c r="C35" s="587" t="s">
        <v>0</v>
      </c>
    </row>
    <row r="36" spans="1:3" x14ac:dyDescent="0.25">
      <c r="A36" s="590"/>
      <c r="C36" s="579" t="s">
        <v>2173</v>
      </c>
    </row>
    <row r="37" spans="1:3" x14ac:dyDescent="0.25">
      <c r="A37" s="575"/>
      <c r="C37" s="579" t="s">
        <v>2175</v>
      </c>
    </row>
    <row r="38" spans="1:3" x14ac:dyDescent="0.25">
      <c r="A38" s="578"/>
      <c r="C38" s="579" t="s">
        <v>2176</v>
      </c>
    </row>
    <row r="39" spans="1:3" x14ac:dyDescent="0.25">
      <c r="A39" s="577"/>
      <c r="C39" s="579" t="s">
        <v>2174</v>
      </c>
    </row>
    <row r="40" spans="1:3" x14ac:dyDescent="0.25">
      <c r="A40" s="589"/>
      <c r="C40" s="579" t="s">
        <v>2177</v>
      </c>
    </row>
    <row r="41" spans="1:3" x14ac:dyDescent="0.25">
      <c r="A41" s="591"/>
      <c r="C41" s="579" t="s">
        <v>2611</v>
      </c>
    </row>
    <row r="42" spans="1:3" x14ac:dyDescent="0.25">
      <c r="A42" s="592"/>
      <c r="C42" s="579" t="s">
        <v>2178</v>
      </c>
    </row>
    <row r="44" spans="1:3" ht="18.75" x14ac:dyDescent="0.3">
      <c r="C44" s="586" t="s">
        <v>4280</v>
      </c>
    </row>
    <row r="45" spans="1:3" x14ac:dyDescent="0.25">
      <c r="C45" s="579" t="s">
        <v>4286</v>
      </c>
    </row>
    <row r="47" spans="1:3" x14ac:dyDescent="0.25">
      <c r="C47" s="579" t="s">
        <v>4281</v>
      </c>
    </row>
    <row r="48" spans="1:3" x14ac:dyDescent="0.25">
      <c r="C48" s="579" t="s">
        <v>4282</v>
      </c>
    </row>
    <row r="49" spans="3:3" x14ac:dyDescent="0.25">
      <c r="C49" s="579" t="s">
        <v>4283</v>
      </c>
    </row>
    <row r="50" spans="3:3" x14ac:dyDescent="0.25">
      <c r="C50" s="579" t="s">
        <v>4284</v>
      </c>
    </row>
    <row r="51" spans="3:3" x14ac:dyDescent="0.25">
      <c r="C51" s="579" t="s">
        <v>4285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topLeftCell="A18" workbookViewId="0">
      <selection activeCell="A39" activeCellId="1" sqref="A41:A44 A39:A4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2016</v>
      </c>
    </row>
    <row r="2" spans="1:5" ht="15.75" thickTop="1" x14ac:dyDescent="0.25">
      <c r="A2" t="s">
        <v>4432</v>
      </c>
      <c r="B2" t="s">
        <v>447</v>
      </c>
      <c r="C2" t="s">
        <v>2</v>
      </c>
      <c r="D2" t="s">
        <v>4401</v>
      </c>
      <c r="E2" t="s">
        <v>17</v>
      </c>
    </row>
    <row r="3" spans="1:5" x14ac:dyDescent="0.25">
      <c r="A3" t="s">
        <v>4433</v>
      </c>
      <c r="B3" t="s">
        <v>447</v>
      </c>
      <c r="C3" t="s">
        <v>3</v>
      </c>
      <c r="D3" t="s">
        <v>4401</v>
      </c>
      <c r="E3" t="s">
        <v>17</v>
      </c>
    </row>
    <row r="4" spans="1:5" x14ac:dyDescent="0.25">
      <c r="A4" t="s">
        <v>4434</v>
      </c>
      <c r="B4" t="s">
        <v>447</v>
      </c>
      <c r="C4" t="s">
        <v>1948</v>
      </c>
      <c r="D4" t="s">
        <v>4401</v>
      </c>
      <c r="E4" t="s">
        <v>17</v>
      </c>
    </row>
    <row r="5" spans="1:5" x14ac:dyDescent="0.25">
      <c r="A5" t="s">
        <v>4435</v>
      </c>
      <c r="B5" t="s">
        <v>447</v>
      </c>
      <c r="C5" t="s">
        <v>501</v>
      </c>
      <c r="D5" t="s">
        <v>4402</v>
      </c>
      <c r="E5" t="s">
        <v>17</v>
      </c>
    </row>
    <row r="6" spans="1:5" x14ac:dyDescent="0.25">
      <c r="A6" t="s">
        <v>4436</v>
      </c>
      <c r="B6" t="s">
        <v>447</v>
      </c>
      <c r="C6" t="s">
        <v>502</v>
      </c>
      <c r="D6" t="s">
        <v>4402</v>
      </c>
      <c r="E6" t="s">
        <v>17</v>
      </c>
    </row>
    <row r="7" spans="1:5" x14ac:dyDescent="0.25">
      <c r="A7" t="s">
        <v>4437</v>
      </c>
      <c r="B7" t="s">
        <v>447</v>
      </c>
      <c r="C7" t="s">
        <v>4</v>
      </c>
      <c r="D7" t="s">
        <v>4403</v>
      </c>
      <c r="E7" t="s">
        <v>1474</v>
      </c>
    </row>
    <row r="8" spans="1:5" x14ac:dyDescent="0.25">
      <c r="A8" t="s">
        <v>4438</v>
      </c>
      <c r="B8" t="s">
        <v>447</v>
      </c>
      <c r="C8" t="s">
        <v>5</v>
      </c>
      <c r="D8" t="s">
        <v>4403</v>
      </c>
      <c r="E8" t="s">
        <v>1474</v>
      </c>
    </row>
    <row r="9" spans="1:5" x14ac:dyDescent="0.25">
      <c r="A9" t="s">
        <v>4439</v>
      </c>
      <c r="B9" t="s">
        <v>447</v>
      </c>
      <c r="C9" t="s">
        <v>4394</v>
      </c>
      <c r="D9" t="s">
        <v>4403</v>
      </c>
      <c r="E9" t="s">
        <v>1474</v>
      </c>
    </row>
    <row r="10" spans="1:5" x14ac:dyDescent="0.25">
      <c r="A10" t="s">
        <v>4440</v>
      </c>
      <c r="B10" t="s">
        <v>447</v>
      </c>
      <c r="C10" t="s">
        <v>500</v>
      </c>
      <c r="D10" t="s">
        <v>4404</v>
      </c>
      <c r="E10" t="s">
        <v>1474</v>
      </c>
    </row>
    <row r="11" spans="1:5" x14ac:dyDescent="0.25">
      <c r="A11" t="s">
        <v>4441</v>
      </c>
      <c r="B11" t="s">
        <v>447</v>
      </c>
      <c r="C11" t="s">
        <v>499</v>
      </c>
      <c r="D11" t="s">
        <v>4404</v>
      </c>
      <c r="E11" t="s">
        <v>1474</v>
      </c>
    </row>
    <row r="12" spans="1:5" x14ac:dyDescent="0.25">
      <c r="A12" t="s">
        <v>4442</v>
      </c>
      <c r="B12" t="s">
        <v>447</v>
      </c>
      <c r="C12" t="s">
        <v>6</v>
      </c>
      <c r="D12" t="s">
        <v>4405</v>
      </c>
      <c r="E12" t="s">
        <v>1474</v>
      </c>
    </row>
    <row r="13" spans="1:5" x14ac:dyDescent="0.25">
      <c r="A13" t="s">
        <v>4443</v>
      </c>
      <c r="B13" t="s">
        <v>447</v>
      </c>
      <c r="C13" t="s">
        <v>7</v>
      </c>
      <c r="D13" t="s">
        <v>4405</v>
      </c>
      <c r="E13" t="s">
        <v>1474</v>
      </c>
    </row>
    <row r="14" spans="1:5" x14ac:dyDescent="0.25">
      <c r="A14" t="s">
        <v>4444</v>
      </c>
      <c r="B14" t="s">
        <v>447</v>
      </c>
      <c r="C14" t="s">
        <v>498</v>
      </c>
      <c r="D14" t="s">
        <v>4406</v>
      </c>
      <c r="E14" t="s">
        <v>1474</v>
      </c>
    </row>
    <row r="15" spans="1:5" x14ac:dyDescent="0.25">
      <c r="A15" t="s">
        <v>4445</v>
      </c>
      <c r="B15" t="s">
        <v>447</v>
      </c>
      <c r="C15" t="s">
        <v>497</v>
      </c>
      <c r="D15" t="s">
        <v>4406</v>
      </c>
      <c r="E15" t="s">
        <v>1474</v>
      </c>
    </row>
    <row r="16" spans="1:5" x14ac:dyDescent="0.25">
      <c r="A16" t="s">
        <v>4446</v>
      </c>
      <c r="B16" t="s">
        <v>447</v>
      </c>
      <c r="C16" t="s">
        <v>186</v>
      </c>
      <c r="D16" t="s">
        <v>4407</v>
      </c>
      <c r="E16" t="s">
        <v>1481</v>
      </c>
    </row>
    <row r="17" spans="1:5" x14ac:dyDescent="0.25">
      <c r="A17" t="s">
        <v>4447</v>
      </c>
      <c r="B17" t="s">
        <v>447</v>
      </c>
      <c r="C17" t="s">
        <v>187</v>
      </c>
      <c r="D17" t="s">
        <v>4407</v>
      </c>
      <c r="E17" t="s">
        <v>1481</v>
      </c>
    </row>
    <row r="18" spans="1:5" x14ac:dyDescent="0.25">
      <c r="A18" t="s">
        <v>4448</v>
      </c>
      <c r="B18" t="s">
        <v>447</v>
      </c>
      <c r="C18" t="s">
        <v>188</v>
      </c>
      <c r="D18" t="s">
        <v>4408</v>
      </c>
      <c r="E18" t="s">
        <v>41</v>
      </c>
    </row>
    <row r="19" spans="1:5" x14ac:dyDescent="0.25">
      <c r="A19" t="s">
        <v>4449</v>
      </c>
      <c r="B19" t="s">
        <v>447</v>
      </c>
      <c r="C19" t="s">
        <v>196</v>
      </c>
      <c r="D19" t="s">
        <v>4409</v>
      </c>
      <c r="E19" t="s">
        <v>46</v>
      </c>
    </row>
    <row r="20" spans="1:5" x14ac:dyDescent="0.25">
      <c r="A20" t="s">
        <v>4450</v>
      </c>
      <c r="B20" t="s">
        <v>447</v>
      </c>
      <c r="C20" t="s">
        <v>406</v>
      </c>
      <c r="D20" t="s">
        <v>4410</v>
      </c>
      <c r="E20" t="s">
        <v>1528</v>
      </c>
    </row>
    <row r="21" spans="1:5" x14ac:dyDescent="0.25">
      <c r="A21" t="s">
        <v>4451</v>
      </c>
      <c r="B21" t="s">
        <v>447</v>
      </c>
      <c r="C21" t="s">
        <v>407</v>
      </c>
      <c r="D21" t="s">
        <v>4410</v>
      </c>
      <c r="E21" t="s">
        <v>1528</v>
      </c>
    </row>
    <row r="22" spans="1:5" x14ac:dyDescent="0.25">
      <c r="A22" t="s">
        <v>4452</v>
      </c>
      <c r="B22" t="s">
        <v>447</v>
      </c>
      <c r="C22" t="s">
        <v>408</v>
      </c>
      <c r="D22" t="s">
        <v>4410</v>
      </c>
      <c r="E22" t="s">
        <v>1528</v>
      </c>
    </row>
    <row r="23" spans="1:5" x14ac:dyDescent="0.25">
      <c r="A23" t="s">
        <v>4453</v>
      </c>
      <c r="B23" t="s">
        <v>447</v>
      </c>
      <c r="C23" t="s">
        <v>409</v>
      </c>
      <c r="D23" t="s">
        <v>4411</v>
      </c>
      <c r="E23" t="s">
        <v>1528</v>
      </c>
    </row>
    <row r="24" spans="1:5" x14ac:dyDescent="0.25">
      <c r="A24" t="s">
        <v>4454</v>
      </c>
      <c r="B24" t="s">
        <v>447</v>
      </c>
      <c r="C24" t="s">
        <v>410</v>
      </c>
      <c r="D24" t="s">
        <v>4411</v>
      </c>
      <c r="E24" t="s">
        <v>1528</v>
      </c>
    </row>
    <row r="25" spans="1:5" x14ac:dyDescent="0.25">
      <c r="A25" t="s">
        <v>4455</v>
      </c>
      <c r="B25" t="s">
        <v>447</v>
      </c>
      <c r="C25" t="s">
        <v>411</v>
      </c>
      <c r="D25" t="s">
        <v>4411</v>
      </c>
      <c r="E25" t="s">
        <v>1528</v>
      </c>
    </row>
    <row r="26" spans="1:5" x14ac:dyDescent="0.25">
      <c r="A26" t="s">
        <v>4456</v>
      </c>
      <c r="B26" t="s">
        <v>447</v>
      </c>
      <c r="C26" t="s">
        <v>1793</v>
      </c>
      <c r="D26" t="s">
        <v>4412</v>
      </c>
      <c r="E26" t="s">
        <v>1528</v>
      </c>
    </row>
    <row r="27" spans="1:5" x14ac:dyDescent="0.25">
      <c r="A27" t="s">
        <v>4457</v>
      </c>
      <c r="B27" t="s">
        <v>447</v>
      </c>
      <c r="C27" t="s">
        <v>412</v>
      </c>
      <c r="D27" t="s">
        <v>4413</v>
      </c>
      <c r="E27" t="s">
        <v>1528</v>
      </c>
    </row>
    <row r="28" spans="1:5" x14ac:dyDescent="0.25">
      <c r="A28" t="s">
        <v>4458</v>
      </c>
      <c r="B28" t="s">
        <v>447</v>
      </c>
      <c r="C28" t="s">
        <v>413</v>
      </c>
      <c r="D28" t="s">
        <v>4413</v>
      </c>
      <c r="E28" t="s">
        <v>1528</v>
      </c>
    </row>
    <row r="29" spans="1:5" x14ac:dyDescent="0.25">
      <c r="A29" t="s">
        <v>4459</v>
      </c>
      <c r="B29" t="s">
        <v>447</v>
      </c>
      <c r="C29" t="s">
        <v>414</v>
      </c>
      <c r="D29" t="s">
        <v>4414</v>
      </c>
      <c r="E29" t="s">
        <v>2017</v>
      </c>
    </row>
    <row r="30" spans="1:5" x14ac:dyDescent="0.25">
      <c r="A30" t="s">
        <v>4460</v>
      </c>
      <c r="B30" t="s">
        <v>447</v>
      </c>
      <c r="C30" t="s">
        <v>415</v>
      </c>
      <c r="D30" t="s">
        <v>4415</v>
      </c>
      <c r="E30" t="s">
        <v>1672</v>
      </c>
    </row>
    <row r="31" spans="1:5" x14ac:dyDescent="0.25">
      <c r="A31" t="s">
        <v>4487</v>
      </c>
      <c r="B31" t="s">
        <v>447</v>
      </c>
      <c r="C31" t="s">
        <v>416</v>
      </c>
      <c r="D31" t="s">
        <v>4416</v>
      </c>
      <c r="E31" t="s">
        <v>2018</v>
      </c>
    </row>
    <row r="32" spans="1:5" x14ac:dyDescent="0.25">
      <c r="A32" t="s">
        <v>4488</v>
      </c>
      <c r="B32" t="s">
        <v>447</v>
      </c>
      <c r="C32" t="s">
        <v>417</v>
      </c>
      <c r="D32" t="s">
        <v>4417</v>
      </c>
      <c r="E32" t="s">
        <v>2019</v>
      </c>
    </row>
    <row r="33" spans="1:5" x14ac:dyDescent="0.25">
      <c r="A33" t="s">
        <v>4461</v>
      </c>
      <c r="B33" t="s">
        <v>447</v>
      </c>
      <c r="C33" t="s">
        <v>419</v>
      </c>
      <c r="D33" t="s">
        <v>4418</v>
      </c>
      <c r="E33" t="s">
        <v>1214</v>
      </c>
    </row>
    <row r="34" spans="1:5" s="202" customFormat="1" x14ac:dyDescent="0.25">
      <c r="A34" s="202" t="s">
        <v>4462</v>
      </c>
      <c r="B34" s="202" t="s">
        <v>447</v>
      </c>
      <c r="C34" s="202" t="s">
        <v>418</v>
      </c>
      <c r="D34" s="202" t="s">
        <v>4418</v>
      </c>
      <c r="E34" s="202" t="s">
        <v>1214</v>
      </c>
    </row>
    <row r="35" spans="1:5" x14ac:dyDescent="0.25">
      <c r="A35" t="s">
        <v>1004</v>
      </c>
      <c r="B35" t="s">
        <v>447</v>
      </c>
      <c r="C35" t="s">
        <v>1706</v>
      </c>
      <c r="D35" t="s">
        <v>4401</v>
      </c>
      <c r="E35" t="s">
        <v>17</v>
      </c>
    </row>
    <row r="36" spans="1:5" x14ac:dyDescent="0.25">
      <c r="A36" t="s">
        <v>1005</v>
      </c>
      <c r="B36" t="s">
        <v>447</v>
      </c>
      <c r="C36" t="s">
        <v>1720</v>
      </c>
      <c r="D36" t="s">
        <v>4401</v>
      </c>
      <c r="E36" t="s">
        <v>17</v>
      </c>
    </row>
    <row r="37" spans="1:5" x14ac:dyDescent="0.25">
      <c r="A37" t="s">
        <v>1006</v>
      </c>
      <c r="B37" t="s">
        <v>447</v>
      </c>
      <c r="C37" t="s">
        <v>1727</v>
      </c>
      <c r="D37" t="s">
        <v>4401</v>
      </c>
      <c r="E37" t="s">
        <v>17</v>
      </c>
    </row>
    <row r="38" spans="1:5" x14ac:dyDescent="0.25">
      <c r="A38" t="s">
        <v>1007</v>
      </c>
      <c r="B38" t="s">
        <v>447</v>
      </c>
      <c r="C38" t="s">
        <v>1732</v>
      </c>
      <c r="D38" t="s">
        <v>4401</v>
      </c>
      <c r="E38" t="s">
        <v>17</v>
      </c>
    </row>
    <row r="39" spans="1:5" x14ac:dyDescent="0.25">
      <c r="A39" t="s">
        <v>4390</v>
      </c>
      <c r="B39" t="s">
        <v>447</v>
      </c>
      <c r="C39" t="s">
        <v>4426</v>
      </c>
      <c r="D39" t="s">
        <v>4401</v>
      </c>
      <c r="E39" t="s">
        <v>17</v>
      </c>
    </row>
    <row r="40" spans="1:5" x14ac:dyDescent="0.25">
      <c r="A40" t="s">
        <v>1009</v>
      </c>
      <c r="B40" t="s">
        <v>447</v>
      </c>
      <c r="C40" t="s">
        <v>4427</v>
      </c>
      <c r="D40" t="s">
        <v>4401</v>
      </c>
      <c r="E40" t="s">
        <v>17</v>
      </c>
    </row>
    <row r="41" spans="1:5" x14ac:dyDescent="0.25">
      <c r="A41" t="s">
        <v>4395</v>
      </c>
      <c r="B41" t="s">
        <v>447</v>
      </c>
      <c r="C41" t="s">
        <v>4398</v>
      </c>
      <c r="D41" t="s">
        <v>4401</v>
      </c>
      <c r="E41" t="s">
        <v>17</v>
      </c>
    </row>
    <row r="42" spans="1:5" x14ac:dyDescent="0.25">
      <c r="A42" t="s">
        <v>1010</v>
      </c>
      <c r="B42" t="s">
        <v>447</v>
      </c>
      <c r="C42" t="s">
        <v>1745</v>
      </c>
      <c r="D42" t="s">
        <v>4401</v>
      </c>
      <c r="E42" t="s">
        <v>17</v>
      </c>
    </row>
    <row r="43" spans="1:5" x14ac:dyDescent="0.25">
      <c r="A43" t="s">
        <v>1011</v>
      </c>
      <c r="B43" t="s">
        <v>447</v>
      </c>
      <c r="C43" t="s">
        <v>1746</v>
      </c>
      <c r="D43" t="s">
        <v>4401</v>
      </c>
      <c r="E43" t="s">
        <v>17</v>
      </c>
    </row>
    <row r="44" spans="1:5" x14ac:dyDescent="0.25">
      <c r="A44" t="s">
        <v>1012</v>
      </c>
      <c r="B44" t="s">
        <v>447</v>
      </c>
      <c r="C44" t="s">
        <v>1748</v>
      </c>
      <c r="D44" t="s">
        <v>4401</v>
      </c>
      <c r="E44" t="s">
        <v>17</v>
      </c>
    </row>
    <row r="45" spans="1:5" x14ac:dyDescent="0.25">
      <c r="A45" t="s">
        <v>4420</v>
      </c>
      <c r="B45" t="s">
        <v>447</v>
      </c>
      <c r="C45" t="s">
        <v>1885</v>
      </c>
      <c r="D45" t="s">
        <v>4401</v>
      </c>
      <c r="E45" t="s">
        <v>17</v>
      </c>
    </row>
    <row r="46" spans="1:5" x14ac:dyDescent="0.25">
      <c r="A46" t="s">
        <v>1014</v>
      </c>
      <c r="B46" t="s">
        <v>447</v>
      </c>
      <c r="C46" t="s">
        <v>1707</v>
      </c>
      <c r="D46" t="s">
        <v>4403</v>
      </c>
      <c r="E46" t="s">
        <v>1474</v>
      </c>
    </row>
    <row r="47" spans="1:5" x14ac:dyDescent="0.25">
      <c r="A47" t="s">
        <v>1015</v>
      </c>
      <c r="B47" t="s">
        <v>447</v>
      </c>
      <c r="C47" t="s">
        <v>1721</v>
      </c>
      <c r="D47" t="s">
        <v>4403</v>
      </c>
      <c r="E47" t="s">
        <v>1474</v>
      </c>
    </row>
    <row r="48" spans="1:5" x14ac:dyDescent="0.25">
      <c r="A48" t="s">
        <v>1016</v>
      </c>
      <c r="B48" t="s">
        <v>447</v>
      </c>
      <c r="C48" t="s">
        <v>1728</v>
      </c>
      <c r="D48" t="s">
        <v>4403</v>
      </c>
      <c r="E48" t="s">
        <v>1474</v>
      </c>
    </row>
    <row r="49" spans="1:5" x14ac:dyDescent="0.25">
      <c r="A49" t="s">
        <v>1017</v>
      </c>
      <c r="B49" t="s">
        <v>447</v>
      </c>
      <c r="C49" t="s">
        <v>1733</v>
      </c>
      <c r="D49" t="s">
        <v>4403</v>
      </c>
      <c r="E49" t="s">
        <v>1474</v>
      </c>
    </row>
    <row r="50" spans="1:5" x14ac:dyDescent="0.25">
      <c r="A50" t="s">
        <v>4391</v>
      </c>
      <c r="B50" t="s">
        <v>447</v>
      </c>
      <c r="C50" t="s">
        <v>4428</v>
      </c>
      <c r="D50" t="s">
        <v>4403</v>
      </c>
      <c r="E50" t="s">
        <v>1474</v>
      </c>
    </row>
    <row r="51" spans="1:5" x14ac:dyDescent="0.25">
      <c r="A51" t="s">
        <v>1019</v>
      </c>
      <c r="B51" t="s">
        <v>447</v>
      </c>
      <c r="C51" t="s">
        <v>4429</v>
      </c>
      <c r="D51" t="s">
        <v>4403</v>
      </c>
      <c r="E51" t="s">
        <v>1474</v>
      </c>
    </row>
    <row r="52" spans="1:5" x14ac:dyDescent="0.25">
      <c r="A52" t="s">
        <v>4396</v>
      </c>
      <c r="B52" t="s">
        <v>447</v>
      </c>
      <c r="C52" t="s">
        <v>4399</v>
      </c>
      <c r="D52" t="s">
        <v>4403</v>
      </c>
      <c r="E52" t="s">
        <v>1474</v>
      </c>
    </row>
    <row r="53" spans="1:5" x14ac:dyDescent="0.25">
      <c r="A53" t="s">
        <v>1020</v>
      </c>
      <c r="B53" t="s">
        <v>447</v>
      </c>
      <c r="C53" t="s">
        <v>1743</v>
      </c>
      <c r="D53" t="s">
        <v>4403</v>
      </c>
      <c r="E53" t="s">
        <v>1474</v>
      </c>
    </row>
    <row r="54" spans="1:5" x14ac:dyDescent="0.25">
      <c r="A54" t="s">
        <v>1021</v>
      </c>
      <c r="B54" t="s">
        <v>447</v>
      </c>
      <c r="C54" t="s">
        <v>1749</v>
      </c>
      <c r="D54" t="s">
        <v>4403</v>
      </c>
      <c r="E54" t="s">
        <v>1474</v>
      </c>
    </row>
    <row r="55" spans="1:5" x14ac:dyDescent="0.25">
      <c r="A55" t="s">
        <v>1022</v>
      </c>
      <c r="B55" t="s">
        <v>447</v>
      </c>
      <c r="C55" t="s">
        <v>1749</v>
      </c>
      <c r="D55" t="s">
        <v>4403</v>
      </c>
      <c r="E55" t="s">
        <v>1474</v>
      </c>
    </row>
    <row r="56" spans="1:5" x14ac:dyDescent="0.25">
      <c r="A56" t="s">
        <v>4421</v>
      </c>
      <c r="B56" t="s">
        <v>447</v>
      </c>
      <c r="C56" t="s">
        <v>1886</v>
      </c>
      <c r="D56" t="s">
        <v>4403</v>
      </c>
      <c r="E56" t="s">
        <v>1474</v>
      </c>
    </row>
    <row r="57" spans="1:5" x14ac:dyDescent="0.25">
      <c r="A57" t="s">
        <v>1033</v>
      </c>
      <c r="B57" t="s">
        <v>447</v>
      </c>
      <c r="C57" t="s">
        <v>1708</v>
      </c>
      <c r="D57" t="s">
        <v>4405</v>
      </c>
      <c r="E57" t="s">
        <v>1474</v>
      </c>
    </row>
    <row r="58" spans="1:5" x14ac:dyDescent="0.25">
      <c r="A58" t="s">
        <v>1034</v>
      </c>
      <c r="B58" t="s">
        <v>447</v>
      </c>
      <c r="C58" t="s">
        <v>1722</v>
      </c>
      <c r="D58" t="s">
        <v>4405</v>
      </c>
      <c r="E58" t="s">
        <v>1474</v>
      </c>
    </row>
    <row r="59" spans="1:5" x14ac:dyDescent="0.25">
      <c r="A59" t="s">
        <v>1035</v>
      </c>
      <c r="B59" t="s">
        <v>447</v>
      </c>
      <c r="C59" t="s">
        <v>1729</v>
      </c>
      <c r="D59" t="s">
        <v>4405</v>
      </c>
      <c r="E59" t="s">
        <v>1474</v>
      </c>
    </row>
    <row r="60" spans="1:5" x14ac:dyDescent="0.25">
      <c r="A60" t="s">
        <v>1036</v>
      </c>
      <c r="B60" t="s">
        <v>447</v>
      </c>
      <c r="C60" t="s">
        <v>1734</v>
      </c>
      <c r="D60" t="s">
        <v>4405</v>
      </c>
      <c r="E60" t="s">
        <v>1474</v>
      </c>
    </row>
    <row r="61" spans="1:5" x14ac:dyDescent="0.25">
      <c r="A61" t="s">
        <v>4392</v>
      </c>
      <c r="B61" t="s">
        <v>447</v>
      </c>
      <c r="C61" t="s">
        <v>4430</v>
      </c>
      <c r="D61" t="s">
        <v>4405</v>
      </c>
      <c r="E61" t="s">
        <v>1474</v>
      </c>
    </row>
    <row r="62" spans="1:5" x14ac:dyDescent="0.25">
      <c r="A62" t="s">
        <v>1037</v>
      </c>
      <c r="B62" t="s">
        <v>447</v>
      </c>
      <c r="C62" t="s">
        <v>4431</v>
      </c>
      <c r="D62" t="s">
        <v>4405</v>
      </c>
      <c r="E62" t="s">
        <v>1474</v>
      </c>
    </row>
    <row r="63" spans="1:5" x14ac:dyDescent="0.25">
      <c r="A63" t="s">
        <v>4397</v>
      </c>
      <c r="B63" t="s">
        <v>447</v>
      </c>
      <c r="C63" t="s">
        <v>4400</v>
      </c>
      <c r="D63" t="s">
        <v>4405</v>
      </c>
      <c r="E63" t="s">
        <v>1474</v>
      </c>
    </row>
    <row r="64" spans="1:5" x14ac:dyDescent="0.25">
      <c r="A64" t="s">
        <v>1038</v>
      </c>
      <c r="B64" t="s">
        <v>447</v>
      </c>
      <c r="C64" t="s">
        <v>1744</v>
      </c>
      <c r="D64" t="s">
        <v>4405</v>
      </c>
      <c r="E64" t="s">
        <v>1474</v>
      </c>
    </row>
    <row r="65" spans="1:5" x14ac:dyDescent="0.25">
      <c r="A65" t="s">
        <v>1039</v>
      </c>
      <c r="B65" t="s">
        <v>447</v>
      </c>
      <c r="C65" t="s">
        <v>1747</v>
      </c>
      <c r="D65" t="s">
        <v>4405</v>
      </c>
      <c r="E65" t="s">
        <v>1474</v>
      </c>
    </row>
    <row r="66" spans="1:5" x14ac:dyDescent="0.25">
      <c r="A66" t="s">
        <v>1040</v>
      </c>
      <c r="B66" t="s">
        <v>447</v>
      </c>
      <c r="C66" t="s">
        <v>1750</v>
      </c>
      <c r="D66" t="s">
        <v>4405</v>
      </c>
      <c r="E66" t="s">
        <v>1474</v>
      </c>
    </row>
    <row r="67" spans="1:5" x14ac:dyDescent="0.25">
      <c r="A67" t="s">
        <v>4422</v>
      </c>
      <c r="B67" t="s">
        <v>447</v>
      </c>
      <c r="C67" t="s">
        <v>1887</v>
      </c>
      <c r="D67" t="s">
        <v>4405</v>
      </c>
      <c r="E67" t="s">
        <v>1474</v>
      </c>
    </row>
    <row r="68" spans="1:5" x14ac:dyDescent="0.25">
      <c r="A68" t="s">
        <v>1024</v>
      </c>
      <c r="B68" t="s">
        <v>447</v>
      </c>
      <c r="C68" t="s">
        <v>1709</v>
      </c>
      <c r="D68" t="s">
        <v>4407</v>
      </c>
      <c r="E68" t="s">
        <v>1481</v>
      </c>
    </row>
    <row r="69" spans="1:5" x14ac:dyDescent="0.25">
      <c r="A69" t="s">
        <v>1041</v>
      </c>
      <c r="B69" t="s">
        <v>447</v>
      </c>
      <c r="C69" t="s">
        <v>1723</v>
      </c>
      <c r="D69" t="s">
        <v>4407</v>
      </c>
      <c r="E69" t="s">
        <v>1481</v>
      </c>
    </row>
    <row r="70" spans="1:5" x14ac:dyDescent="0.25">
      <c r="A70" t="s">
        <v>1043</v>
      </c>
      <c r="B70" t="s">
        <v>447</v>
      </c>
      <c r="C70" t="s">
        <v>1735</v>
      </c>
      <c r="D70" t="s">
        <v>4407</v>
      </c>
      <c r="E70" t="s">
        <v>1481</v>
      </c>
    </row>
    <row r="71" spans="1:5" x14ac:dyDescent="0.25">
      <c r="A71" t="s">
        <v>1044</v>
      </c>
      <c r="B71" t="s">
        <v>447</v>
      </c>
      <c r="C71" t="s">
        <v>1740</v>
      </c>
      <c r="D71" t="s">
        <v>4407</v>
      </c>
      <c r="E71" t="s">
        <v>1481</v>
      </c>
    </row>
    <row r="72" spans="1:5" x14ac:dyDescent="0.25">
      <c r="A72" t="s">
        <v>1071</v>
      </c>
      <c r="B72" t="s">
        <v>447</v>
      </c>
      <c r="C72" t="s">
        <v>1751</v>
      </c>
      <c r="D72" t="s">
        <v>4407</v>
      </c>
      <c r="E72" t="s">
        <v>1481</v>
      </c>
    </row>
    <row r="73" spans="1:5" x14ac:dyDescent="0.25">
      <c r="A73" t="s">
        <v>1072</v>
      </c>
      <c r="B73" t="s">
        <v>447</v>
      </c>
      <c r="C73" t="s">
        <v>1880</v>
      </c>
      <c r="D73" t="s">
        <v>4407</v>
      </c>
      <c r="E73" t="s">
        <v>1481</v>
      </c>
    </row>
    <row r="74" spans="1:5" x14ac:dyDescent="0.25">
      <c r="A74" t="s">
        <v>1073</v>
      </c>
      <c r="B74" t="s">
        <v>447</v>
      </c>
      <c r="C74" t="s">
        <v>1758</v>
      </c>
      <c r="D74" t="s">
        <v>4407</v>
      </c>
      <c r="E74" t="s">
        <v>1481</v>
      </c>
    </row>
    <row r="75" spans="1:5" x14ac:dyDescent="0.25">
      <c r="A75" t="s">
        <v>1074</v>
      </c>
      <c r="B75" t="s">
        <v>447</v>
      </c>
      <c r="C75" t="s">
        <v>1710</v>
      </c>
      <c r="D75" t="s">
        <v>4408</v>
      </c>
      <c r="E75" t="s">
        <v>41</v>
      </c>
    </row>
    <row r="76" spans="1:5" x14ac:dyDescent="0.25">
      <c r="A76" t="s">
        <v>1075</v>
      </c>
      <c r="B76" t="s">
        <v>447</v>
      </c>
      <c r="C76" t="s">
        <v>1755</v>
      </c>
      <c r="D76" t="s">
        <v>4408</v>
      </c>
      <c r="E76" t="s">
        <v>41</v>
      </c>
    </row>
    <row r="77" spans="1:5" x14ac:dyDescent="0.25">
      <c r="A77" t="s">
        <v>1076</v>
      </c>
      <c r="B77" t="s">
        <v>447</v>
      </c>
      <c r="C77" t="s">
        <v>1756</v>
      </c>
      <c r="D77" t="s">
        <v>4408</v>
      </c>
      <c r="E77" t="s">
        <v>41</v>
      </c>
    </row>
    <row r="78" spans="1:5" x14ac:dyDescent="0.25">
      <c r="A78" t="s">
        <v>1077</v>
      </c>
      <c r="B78" t="s">
        <v>447</v>
      </c>
      <c r="C78" t="s">
        <v>1757</v>
      </c>
      <c r="D78" t="s">
        <v>4408</v>
      </c>
      <c r="E78" t="s">
        <v>41</v>
      </c>
    </row>
    <row r="79" spans="1:5" x14ac:dyDescent="0.25">
      <c r="A79" t="s">
        <v>1078</v>
      </c>
      <c r="B79" t="s">
        <v>447</v>
      </c>
      <c r="C79" t="s">
        <v>1881</v>
      </c>
      <c r="D79" t="s">
        <v>4408</v>
      </c>
      <c r="E79" t="s">
        <v>41</v>
      </c>
    </row>
    <row r="80" spans="1:5" x14ac:dyDescent="0.25">
      <c r="A80" t="s">
        <v>1079</v>
      </c>
      <c r="B80" t="s">
        <v>447</v>
      </c>
      <c r="C80" t="s">
        <v>1759</v>
      </c>
      <c r="D80" t="s">
        <v>4408</v>
      </c>
      <c r="E80" t="s">
        <v>41</v>
      </c>
    </row>
    <row r="81" spans="1:5" x14ac:dyDescent="0.25">
      <c r="A81" t="s">
        <v>1081</v>
      </c>
      <c r="B81" t="s">
        <v>447</v>
      </c>
      <c r="C81" t="s">
        <v>1711</v>
      </c>
      <c r="D81" t="s">
        <v>4409</v>
      </c>
      <c r="E81" t="s">
        <v>46</v>
      </c>
    </row>
    <row r="82" spans="1:5" x14ac:dyDescent="0.25">
      <c r="A82" t="s">
        <v>1082</v>
      </c>
      <c r="B82" t="s">
        <v>447</v>
      </c>
      <c r="C82" t="s">
        <v>1739</v>
      </c>
      <c r="D82" t="s">
        <v>4409</v>
      </c>
      <c r="E82" t="s">
        <v>46</v>
      </c>
    </row>
    <row r="83" spans="1:5" x14ac:dyDescent="0.25">
      <c r="A83" t="s">
        <v>1094</v>
      </c>
      <c r="B83" t="s">
        <v>447</v>
      </c>
      <c r="C83" t="s">
        <v>1712</v>
      </c>
      <c r="D83" t="s">
        <v>4410</v>
      </c>
      <c r="E83" t="s">
        <v>1528</v>
      </c>
    </row>
    <row r="84" spans="1:5" x14ac:dyDescent="0.25">
      <c r="A84" t="s">
        <v>1095</v>
      </c>
      <c r="B84" t="s">
        <v>447</v>
      </c>
      <c r="C84" t="s">
        <v>1724</v>
      </c>
      <c r="D84" t="s">
        <v>4410</v>
      </c>
      <c r="E84" t="s">
        <v>1528</v>
      </c>
    </row>
    <row r="85" spans="1:5" x14ac:dyDescent="0.25">
      <c r="A85" t="s">
        <v>1096</v>
      </c>
      <c r="B85" t="s">
        <v>447</v>
      </c>
      <c r="C85" t="s">
        <v>1730</v>
      </c>
      <c r="D85" t="s">
        <v>4410</v>
      </c>
      <c r="E85" t="s">
        <v>1528</v>
      </c>
    </row>
    <row r="86" spans="1:5" x14ac:dyDescent="0.25">
      <c r="A86" t="s">
        <v>1097</v>
      </c>
      <c r="B86" t="s">
        <v>447</v>
      </c>
      <c r="C86" t="s">
        <v>1736</v>
      </c>
      <c r="D86" t="s">
        <v>4410</v>
      </c>
      <c r="E86" t="s">
        <v>1528</v>
      </c>
    </row>
    <row r="87" spans="1:5" x14ac:dyDescent="0.25">
      <c r="A87" t="s">
        <v>1098</v>
      </c>
      <c r="B87" t="s">
        <v>447</v>
      </c>
      <c r="C87" t="s">
        <v>1741</v>
      </c>
      <c r="D87" t="s">
        <v>4410</v>
      </c>
      <c r="E87" t="s">
        <v>1528</v>
      </c>
    </row>
    <row r="88" spans="1:5" x14ac:dyDescent="0.25">
      <c r="A88" t="s">
        <v>1099</v>
      </c>
      <c r="B88" t="s">
        <v>447</v>
      </c>
      <c r="C88" t="s">
        <v>1752</v>
      </c>
      <c r="D88" t="s">
        <v>4410</v>
      </c>
      <c r="E88" t="s">
        <v>1528</v>
      </c>
    </row>
    <row r="89" spans="1:5" x14ac:dyDescent="0.25">
      <c r="A89" t="s">
        <v>1100</v>
      </c>
      <c r="B89" t="s">
        <v>447</v>
      </c>
      <c r="C89" t="s">
        <v>1882</v>
      </c>
      <c r="D89" t="s">
        <v>4410</v>
      </c>
      <c r="E89" t="s">
        <v>1528</v>
      </c>
    </row>
    <row r="90" spans="1:5" x14ac:dyDescent="0.25">
      <c r="A90" t="s">
        <v>1101</v>
      </c>
      <c r="B90" t="s">
        <v>447</v>
      </c>
      <c r="C90" t="s">
        <v>1760</v>
      </c>
      <c r="D90" t="s">
        <v>4410</v>
      </c>
      <c r="E90" t="s">
        <v>1528</v>
      </c>
    </row>
    <row r="91" spans="1:5" x14ac:dyDescent="0.25">
      <c r="A91" t="s">
        <v>1102</v>
      </c>
      <c r="B91" t="s">
        <v>447</v>
      </c>
      <c r="C91" t="s">
        <v>1713</v>
      </c>
      <c r="D91" t="s">
        <v>4411</v>
      </c>
      <c r="E91" t="s">
        <v>1528</v>
      </c>
    </row>
    <row r="92" spans="1:5" x14ac:dyDescent="0.25">
      <c r="A92" t="s">
        <v>1103</v>
      </c>
      <c r="B92" t="s">
        <v>447</v>
      </c>
      <c r="C92" t="s">
        <v>1725</v>
      </c>
      <c r="D92" t="s">
        <v>4411</v>
      </c>
      <c r="E92" t="s">
        <v>1528</v>
      </c>
    </row>
    <row r="93" spans="1:5" x14ac:dyDescent="0.25">
      <c r="A93" t="s">
        <v>1104</v>
      </c>
      <c r="B93" t="s">
        <v>447</v>
      </c>
      <c r="C93" t="s">
        <v>1731</v>
      </c>
      <c r="D93" t="s">
        <v>4411</v>
      </c>
      <c r="E93" t="s">
        <v>1528</v>
      </c>
    </row>
    <row r="94" spans="1:5" x14ac:dyDescent="0.25">
      <c r="A94" t="s">
        <v>1105</v>
      </c>
      <c r="B94" t="s">
        <v>447</v>
      </c>
      <c r="C94" t="s">
        <v>1737</v>
      </c>
      <c r="D94" t="s">
        <v>4411</v>
      </c>
      <c r="E94" t="s">
        <v>1528</v>
      </c>
    </row>
    <row r="95" spans="1:5" x14ac:dyDescent="0.25">
      <c r="A95" t="s">
        <v>1106</v>
      </c>
      <c r="B95" t="s">
        <v>447</v>
      </c>
      <c r="C95" t="s">
        <v>1742</v>
      </c>
      <c r="D95" t="s">
        <v>4411</v>
      </c>
      <c r="E95" t="s">
        <v>1528</v>
      </c>
    </row>
    <row r="96" spans="1:5" x14ac:dyDescent="0.25">
      <c r="A96" t="s">
        <v>1107</v>
      </c>
      <c r="B96" t="s">
        <v>447</v>
      </c>
      <c r="C96" t="s">
        <v>1753</v>
      </c>
      <c r="D96" t="s">
        <v>4411</v>
      </c>
      <c r="E96" t="s">
        <v>1528</v>
      </c>
    </row>
    <row r="97" spans="1:5" x14ac:dyDescent="0.25">
      <c r="A97" t="s">
        <v>1108</v>
      </c>
      <c r="B97" t="s">
        <v>447</v>
      </c>
      <c r="C97" t="s">
        <v>1883</v>
      </c>
      <c r="D97" t="s">
        <v>4411</v>
      </c>
      <c r="E97" t="s">
        <v>1528</v>
      </c>
    </row>
    <row r="98" spans="1:5" x14ac:dyDescent="0.25">
      <c r="A98" t="s">
        <v>1109</v>
      </c>
      <c r="B98" t="s">
        <v>447</v>
      </c>
      <c r="C98" t="s">
        <v>1761</v>
      </c>
      <c r="D98" t="s">
        <v>4411</v>
      </c>
      <c r="E98" t="s">
        <v>1528</v>
      </c>
    </row>
    <row r="99" spans="1:5" x14ac:dyDescent="0.25">
      <c r="A99" t="s">
        <v>1110</v>
      </c>
      <c r="B99" t="s">
        <v>447</v>
      </c>
      <c r="C99" t="s">
        <v>1714</v>
      </c>
      <c r="D99" t="s">
        <v>4413</v>
      </c>
      <c r="E99" t="s">
        <v>1528</v>
      </c>
    </row>
    <row r="100" spans="1:5" x14ac:dyDescent="0.25">
      <c r="A100" t="s">
        <v>1111</v>
      </c>
      <c r="B100" t="s">
        <v>447</v>
      </c>
      <c r="C100" t="s">
        <v>1726</v>
      </c>
      <c r="D100" t="s">
        <v>4413</v>
      </c>
      <c r="E100" t="s">
        <v>1528</v>
      </c>
    </row>
    <row r="101" spans="1:5" x14ac:dyDescent="0.25">
      <c r="A101" t="s">
        <v>1112</v>
      </c>
      <c r="B101" t="s">
        <v>447</v>
      </c>
      <c r="C101" t="s">
        <v>1738</v>
      </c>
      <c r="D101" t="s">
        <v>4413</v>
      </c>
      <c r="E101" t="s">
        <v>1528</v>
      </c>
    </row>
    <row r="102" spans="1:5" x14ac:dyDescent="0.25">
      <c r="A102" t="s">
        <v>1113</v>
      </c>
      <c r="B102" t="s">
        <v>447</v>
      </c>
      <c r="C102" t="s">
        <v>1754</v>
      </c>
      <c r="D102" t="s">
        <v>4413</v>
      </c>
      <c r="E102" t="s">
        <v>1528</v>
      </c>
    </row>
    <row r="103" spans="1:5" x14ac:dyDescent="0.25">
      <c r="A103" t="s">
        <v>1114</v>
      </c>
      <c r="B103" t="s">
        <v>447</v>
      </c>
      <c r="C103" t="s">
        <v>1884</v>
      </c>
      <c r="D103" t="s">
        <v>4413</v>
      </c>
      <c r="E103" t="s">
        <v>1528</v>
      </c>
    </row>
    <row r="104" spans="1:5" x14ac:dyDescent="0.25">
      <c r="A104" t="s">
        <v>1118</v>
      </c>
      <c r="B104" t="s">
        <v>447</v>
      </c>
      <c r="C104" t="s">
        <v>1715</v>
      </c>
      <c r="D104" t="s">
        <v>4414</v>
      </c>
      <c r="E104" t="s">
        <v>2017</v>
      </c>
    </row>
    <row r="105" spans="1:5" x14ac:dyDescent="0.25">
      <c r="A105" t="s">
        <v>1119</v>
      </c>
      <c r="B105" t="s">
        <v>447</v>
      </c>
      <c r="C105" t="s">
        <v>1762</v>
      </c>
      <c r="D105" t="s">
        <v>4414</v>
      </c>
      <c r="E105" t="s">
        <v>2017</v>
      </c>
    </row>
    <row r="106" spans="1:5" x14ac:dyDescent="0.25">
      <c r="A106" t="s">
        <v>1120</v>
      </c>
      <c r="B106" t="s">
        <v>447</v>
      </c>
      <c r="C106" t="s">
        <v>1716</v>
      </c>
      <c r="D106" t="s">
        <v>4415</v>
      </c>
      <c r="E106" t="s">
        <v>1672</v>
      </c>
    </row>
    <row r="107" spans="1:5" x14ac:dyDescent="0.25">
      <c r="A107" t="s">
        <v>1121</v>
      </c>
      <c r="B107" t="s">
        <v>447</v>
      </c>
      <c r="C107" t="s">
        <v>1763</v>
      </c>
      <c r="D107" t="s">
        <v>4415</v>
      </c>
      <c r="E107" t="s">
        <v>1672</v>
      </c>
    </row>
    <row r="108" spans="1:5" x14ac:dyDescent="0.25">
      <c r="A108" t="s">
        <v>1122</v>
      </c>
      <c r="B108" t="s">
        <v>447</v>
      </c>
      <c r="C108" t="s">
        <v>1717</v>
      </c>
      <c r="D108" t="s">
        <v>4416</v>
      </c>
      <c r="E108" t="s">
        <v>2018</v>
      </c>
    </row>
    <row r="109" spans="1:5" x14ac:dyDescent="0.25">
      <c r="A109" t="s">
        <v>1123</v>
      </c>
      <c r="B109" t="s">
        <v>447</v>
      </c>
      <c r="C109" t="s">
        <v>1878</v>
      </c>
      <c r="D109" t="s">
        <v>4416</v>
      </c>
      <c r="E109" t="s">
        <v>2018</v>
      </c>
    </row>
    <row r="110" spans="1:5" x14ac:dyDescent="0.25">
      <c r="A110" t="s">
        <v>1124</v>
      </c>
      <c r="B110" t="s">
        <v>447</v>
      </c>
      <c r="C110" t="s">
        <v>1718</v>
      </c>
      <c r="D110" t="s">
        <v>4417</v>
      </c>
      <c r="E110" t="s">
        <v>2019</v>
      </c>
    </row>
    <row r="111" spans="1:5" x14ac:dyDescent="0.25">
      <c r="A111" t="s">
        <v>1125</v>
      </c>
      <c r="B111" t="s">
        <v>447</v>
      </c>
      <c r="C111" t="s">
        <v>1879</v>
      </c>
      <c r="D111" t="s">
        <v>4417</v>
      </c>
      <c r="E111" t="s">
        <v>2019</v>
      </c>
    </row>
    <row r="112" spans="1:5" x14ac:dyDescent="0.25">
      <c r="A112" t="s">
        <v>1130</v>
      </c>
      <c r="B112" t="s">
        <v>447</v>
      </c>
      <c r="C112" t="s">
        <v>1764</v>
      </c>
      <c r="D112" t="s">
        <v>4417</v>
      </c>
      <c r="E112" t="s">
        <v>2019</v>
      </c>
    </row>
    <row r="113" spans="1:5" x14ac:dyDescent="0.25">
      <c r="A113" t="s">
        <v>1293</v>
      </c>
      <c r="B113" t="s">
        <v>447</v>
      </c>
      <c r="C113" t="s">
        <v>1719</v>
      </c>
      <c r="D113" t="s">
        <v>4418</v>
      </c>
      <c r="E113" t="s">
        <v>1214</v>
      </c>
    </row>
    <row r="114" spans="1:5" x14ac:dyDescent="0.25">
      <c r="A114" t="s">
        <v>1294</v>
      </c>
      <c r="B114" t="s">
        <v>447</v>
      </c>
      <c r="C114" t="s">
        <v>1765</v>
      </c>
      <c r="D114" t="s">
        <v>4418</v>
      </c>
      <c r="E114" t="s">
        <v>1214</v>
      </c>
    </row>
    <row r="115" spans="1:5" x14ac:dyDescent="0.25">
      <c r="A115" t="s">
        <v>1295</v>
      </c>
      <c r="B115" t="s">
        <v>447</v>
      </c>
      <c r="C115" t="s">
        <v>1877</v>
      </c>
      <c r="D115" t="s">
        <v>4418</v>
      </c>
      <c r="E115" t="s">
        <v>1214</v>
      </c>
    </row>
    <row r="116" spans="1:5" x14ac:dyDescent="0.25">
      <c r="A116" t="s">
        <v>1766</v>
      </c>
      <c r="B116" t="s">
        <v>447</v>
      </c>
      <c r="C116" t="s">
        <v>1767</v>
      </c>
      <c r="D116" t="s">
        <v>4419</v>
      </c>
      <c r="E116" t="s">
        <v>2076</v>
      </c>
    </row>
    <row r="117" spans="1:5" x14ac:dyDescent="0.25">
      <c r="A117" t="s">
        <v>4768</v>
      </c>
      <c r="B117" t="s">
        <v>447</v>
      </c>
      <c r="C117" t="s">
        <v>4766</v>
      </c>
      <c r="E117" t="s">
        <v>2020</v>
      </c>
    </row>
    <row r="118" spans="1:5" x14ac:dyDescent="0.25">
      <c r="A118" t="s">
        <v>4769</v>
      </c>
      <c r="B118" t="s">
        <v>447</v>
      </c>
      <c r="C118" t="s">
        <v>4767</v>
      </c>
      <c r="E118" t="s">
        <v>2020</v>
      </c>
    </row>
    <row r="119" spans="1:5" x14ac:dyDescent="0.25">
      <c r="A119" t="s">
        <v>1825</v>
      </c>
      <c r="B119" t="s">
        <v>447</v>
      </c>
      <c r="C119" t="s">
        <v>1826</v>
      </c>
      <c r="E119" t="s">
        <v>2020</v>
      </c>
    </row>
    <row r="120" spans="1:5" x14ac:dyDescent="0.25">
      <c r="A120" t="s">
        <v>1821</v>
      </c>
      <c r="B120" t="s">
        <v>447</v>
      </c>
      <c r="C120" t="s">
        <v>1868</v>
      </c>
      <c r="E120" t="s">
        <v>2020</v>
      </c>
    </row>
    <row r="121" spans="1:5" x14ac:dyDescent="0.25">
      <c r="A121" t="s">
        <v>1870</v>
      </c>
      <c r="B121" t="s">
        <v>447</v>
      </c>
      <c r="C121" t="s">
        <v>1822</v>
      </c>
      <c r="E121" t="s">
        <v>2021</v>
      </c>
    </row>
    <row r="122" spans="1:5" x14ac:dyDescent="0.25">
      <c r="A122" t="s">
        <v>1871</v>
      </c>
      <c r="B122" t="s">
        <v>447</v>
      </c>
      <c r="C122" t="s">
        <v>1867</v>
      </c>
      <c r="E122" t="s">
        <v>2021</v>
      </c>
    </row>
    <row r="123" spans="1:5" x14ac:dyDescent="0.25">
      <c r="A123" t="s">
        <v>1872</v>
      </c>
      <c r="B123" t="s">
        <v>447</v>
      </c>
      <c r="C123" t="s">
        <v>1823</v>
      </c>
      <c r="E123" t="s">
        <v>2021</v>
      </c>
    </row>
    <row r="124" spans="1:5" x14ac:dyDescent="0.25">
      <c r="A124" t="s">
        <v>1824</v>
      </c>
      <c r="B124" t="s">
        <v>447</v>
      </c>
      <c r="C124" t="s">
        <v>2934</v>
      </c>
      <c r="E124" t="s">
        <v>2022</v>
      </c>
    </row>
    <row r="125" spans="1:5" x14ac:dyDescent="0.25">
      <c r="A125" t="s">
        <v>2948</v>
      </c>
      <c r="B125" t="s">
        <v>447</v>
      </c>
      <c r="C125" t="s">
        <v>2933</v>
      </c>
      <c r="E125" t="s">
        <v>2022</v>
      </c>
    </row>
    <row r="126" spans="1:5" x14ac:dyDescent="0.25">
      <c r="A126" t="s">
        <v>1893</v>
      </c>
      <c r="B126" t="s">
        <v>447</v>
      </c>
      <c r="C126" t="s">
        <v>1896</v>
      </c>
      <c r="E126" t="s">
        <v>2022</v>
      </c>
    </row>
    <row r="127" spans="1:5" x14ac:dyDescent="0.25">
      <c r="A127" t="s">
        <v>1894</v>
      </c>
      <c r="B127" t="s">
        <v>447</v>
      </c>
      <c r="C127" t="s">
        <v>1897</v>
      </c>
      <c r="E127" t="s">
        <v>2022</v>
      </c>
    </row>
    <row r="128" spans="1:5" x14ac:dyDescent="0.25">
      <c r="A128" t="s">
        <v>4393</v>
      </c>
      <c r="B128" t="s">
        <v>447</v>
      </c>
      <c r="C128" t="s">
        <v>4489</v>
      </c>
      <c r="E128" t="s">
        <v>2022</v>
      </c>
    </row>
    <row r="129" spans="1:5" x14ac:dyDescent="0.25">
      <c r="A129" t="s">
        <v>1859</v>
      </c>
      <c r="B129" t="s">
        <v>447</v>
      </c>
      <c r="C129" t="s">
        <v>1895</v>
      </c>
      <c r="E129" t="s">
        <v>2022</v>
      </c>
    </row>
    <row r="130" spans="1:5" x14ac:dyDescent="0.25">
      <c r="A130" t="s">
        <v>1865</v>
      </c>
      <c r="B130" t="s">
        <v>447</v>
      </c>
      <c r="C130" t="s">
        <v>1862</v>
      </c>
      <c r="E130" t="s">
        <v>2022</v>
      </c>
    </row>
    <row r="131" spans="1:5" s="202" customFormat="1" x14ac:dyDescent="0.25">
      <c r="A131" s="202" t="s">
        <v>1866</v>
      </c>
      <c r="B131" s="202" t="s">
        <v>447</v>
      </c>
      <c r="C131" s="202" t="s">
        <v>1863</v>
      </c>
      <c r="E131" s="202" t="s">
        <v>2022</v>
      </c>
    </row>
    <row r="132" spans="1:5" x14ac:dyDescent="0.25">
      <c r="A132" t="s">
        <v>2954</v>
      </c>
      <c r="B132" t="s">
        <v>2074</v>
      </c>
      <c r="C132" t="s">
        <v>2950</v>
      </c>
      <c r="E132" t="s">
        <v>2075</v>
      </c>
    </row>
    <row r="133" spans="1:5" x14ac:dyDescent="0.25">
      <c r="A133" t="s">
        <v>2067</v>
      </c>
      <c r="B133" t="s">
        <v>2074</v>
      </c>
      <c r="C133" t="s">
        <v>2094</v>
      </c>
      <c r="E133" t="s">
        <v>2075</v>
      </c>
    </row>
    <row r="134" spans="1:5" x14ac:dyDescent="0.25">
      <c r="A134" t="s">
        <v>2082</v>
      </c>
      <c r="B134" t="s">
        <v>2074</v>
      </c>
      <c r="C134" t="s">
        <v>2095</v>
      </c>
      <c r="E134" t="s">
        <v>2075</v>
      </c>
    </row>
    <row r="135" spans="1:5" x14ac:dyDescent="0.25">
      <c r="A135" t="s">
        <v>2068</v>
      </c>
      <c r="B135" t="s">
        <v>2074</v>
      </c>
      <c r="C135" t="s">
        <v>2096</v>
      </c>
      <c r="E135" t="s">
        <v>2075</v>
      </c>
    </row>
    <row r="136" spans="1:5" x14ac:dyDescent="0.25">
      <c r="A136" t="s">
        <v>2077</v>
      </c>
      <c r="B136" t="s">
        <v>2074</v>
      </c>
      <c r="C136" t="s">
        <v>2097</v>
      </c>
      <c r="E136" t="s">
        <v>2075</v>
      </c>
    </row>
    <row r="137" spans="1:5" x14ac:dyDescent="0.25">
      <c r="A137" t="s">
        <v>2069</v>
      </c>
      <c r="B137" t="s">
        <v>2074</v>
      </c>
      <c r="C137" t="s">
        <v>2098</v>
      </c>
      <c r="E137" t="s">
        <v>2075</v>
      </c>
    </row>
    <row r="138" spans="1:5" x14ac:dyDescent="0.25">
      <c r="A138" t="s">
        <v>2070</v>
      </c>
      <c r="B138" t="s">
        <v>2074</v>
      </c>
      <c r="C138" t="s">
        <v>2099</v>
      </c>
      <c r="E138" t="s">
        <v>2075</v>
      </c>
    </row>
    <row r="139" spans="1:5" x14ac:dyDescent="0.25">
      <c r="A139" t="s">
        <v>4084</v>
      </c>
      <c r="B139" t="s">
        <v>2074</v>
      </c>
      <c r="C139" t="s">
        <v>2639</v>
      </c>
      <c r="E139" t="s">
        <v>2075</v>
      </c>
    </row>
    <row r="140" spans="1:5" x14ac:dyDescent="0.25">
      <c r="A140" t="s">
        <v>2071</v>
      </c>
      <c r="B140" t="s">
        <v>2074</v>
      </c>
      <c r="C140" t="s">
        <v>2100</v>
      </c>
      <c r="E140" t="s">
        <v>2075</v>
      </c>
    </row>
    <row r="141" spans="1:5" x14ac:dyDescent="0.25">
      <c r="A141" t="s">
        <v>2072</v>
      </c>
      <c r="B141" t="s">
        <v>2074</v>
      </c>
      <c r="C141" t="s">
        <v>2101</v>
      </c>
      <c r="E141" t="s">
        <v>2075</v>
      </c>
    </row>
    <row r="142" spans="1:5" x14ac:dyDescent="0.25">
      <c r="A142" t="s">
        <v>2073</v>
      </c>
      <c r="B142" t="s">
        <v>2074</v>
      </c>
      <c r="C142" t="s">
        <v>2102</v>
      </c>
      <c r="E142" t="s">
        <v>2075</v>
      </c>
    </row>
    <row r="143" spans="1:5" x14ac:dyDescent="0.25">
      <c r="A143" t="s">
        <v>2078</v>
      </c>
      <c r="B143" t="s">
        <v>2074</v>
      </c>
      <c r="C143" t="s">
        <v>2103</v>
      </c>
      <c r="E143" t="s">
        <v>2075</v>
      </c>
    </row>
    <row r="144" spans="1:5" x14ac:dyDescent="0.25">
      <c r="A144" t="s">
        <v>2084</v>
      </c>
      <c r="B144" t="s">
        <v>2074</v>
      </c>
      <c r="C144" t="s">
        <v>2104</v>
      </c>
      <c r="E144" t="s">
        <v>2075</v>
      </c>
    </row>
    <row r="145" spans="1:5" x14ac:dyDescent="0.25">
      <c r="A145" t="s">
        <v>2085</v>
      </c>
      <c r="B145" t="s">
        <v>2074</v>
      </c>
      <c r="C145" t="s">
        <v>2105</v>
      </c>
      <c r="E145" t="s">
        <v>2075</v>
      </c>
    </row>
    <row r="146" spans="1:5" x14ac:dyDescent="0.25">
      <c r="A146" t="s">
        <v>2086</v>
      </c>
      <c r="B146" t="s">
        <v>2074</v>
      </c>
      <c r="C146" t="s">
        <v>2106</v>
      </c>
      <c r="E146" t="s">
        <v>2075</v>
      </c>
    </row>
    <row r="147" spans="1:5" x14ac:dyDescent="0.25">
      <c r="A147" t="s">
        <v>2087</v>
      </c>
      <c r="B147" t="s">
        <v>2074</v>
      </c>
      <c r="C147" t="s">
        <v>2107</v>
      </c>
      <c r="E147" t="s">
        <v>2075</v>
      </c>
    </row>
    <row r="148" spans="1:5" x14ac:dyDescent="0.25">
      <c r="A148" t="s">
        <v>2088</v>
      </c>
      <c r="B148" t="s">
        <v>2074</v>
      </c>
      <c r="C148" t="s">
        <v>2108</v>
      </c>
      <c r="E148" t="s">
        <v>2075</v>
      </c>
    </row>
    <row r="149" spans="1:5" x14ac:dyDescent="0.25">
      <c r="A149" t="s">
        <v>2089</v>
      </c>
      <c r="B149" t="s">
        <v>2074</v>
      </c>
      <c r="C149" t="s">
        <v>2109</v>
      </c>
      <c r="E149" t="s">
        <v>2075</v>
      </c>
    </row>
    <row r="150" spans="1:5" x14ac:dyDescent="0.25">
      <c r="A150" t="s">
        <v>4085</v>
      </c>
      <c r="B150" t="s">
        <v>2074</v>
      </c>
      <c r="C150" t="s">
        <v>2888</v>
      </c>
      <c r="E150" t="s">
        <v>2075</v>
      </c>
    </row>
    <row r="151" spans="1:5" x14ac:dyDescent="0.25">
      <c r="A151" t="s">
        <v>2090</v>
      </c>
      <c r="B151" t="s">
        <v>2074</v>
      </c>
      <c r="C151" t="s">
        <v>2110</v>
      </c>
      <c r="E151" t="s">
        <v>2075</v>
      </c>
    </row>
    <row r="152" spans="1:5" x14ac:dyDescent="0.25">
      <c r="A152" t="s">
        <v>2091</v>
      </c>
      <c r="B152" t="s">
        <v>2074</v>
      </c>
      <c r="C152" t="s">
        <v>2111</v>
      </c>
      <c r="E152" t="s">
        <v>2075</v>
      </c>
    </row>
    <row r="153" spans="1:5" x14ac:dyDescent="0.25">
      <c r="A153" t="s">
        <v>2092</v>
      </c>
      <c r="B153" t="s">
        <v>2074</v>
      </c>
      <c r="C153" t="s">
        <v>2112</v>
      </c>
      <c r="E153" t="s">
        <v>2075</v>
      </c>
    </row>
    <row r="154" spans="1:5" x14ac:dyDescent="0.25">
      <c r="A154" t="s">
        <v>2093</v>
      </c>
      <c r="B154" t="s">
        <v>2074</v>
      </c>
      <c r="C154" t="s">
        <v>2113</v>
      </c>
      <c r="E154" t="s">
        <v>2075</v>
      </c>
    </row>
    <row r="155" spans="1:5" x14ac:dyDescent="0.25">
      <c r="A155" t="s">
        <v>1869</v>
      </c>
      <c r="B155" t="s">
        <v>447</v>
      </c>
      <c r="C155" t="s">
        <v>1873</v>
      </c>
      <c r="E155" t="s">
        <v>2075</v>
      </c>
    </row>
    <row r="156" spans="1:5" x14ac:dyDescent="0.25">
      <c r="A156" t="s">
        <v>2882</v>
      </c>
      <c r="B156" t="s">
        <v>447</v>
      </c>
      <c r="C156" t="s">
        <v>4695</v>
      </c>
      <c r="E156" t="s">
        <v>2075</v>
      </c>
    </row>
    <row r="157" spans="1:5" x14ac:dyDescent="0.25">
      <c r="A157" t="s">
        <v>2883</v>
      </c>
      <c r="B157" t="s">
        <v>447</v>
      </c>
      <c r="C157" t="s">
        <v>4751</v>
      </c>
      <c r="E157" t="s">
        <v>2075</v>
      </c>
    </row>
    <row r="158" spans="1:5" x14ac:dyDescent="0.25">
      <c r="A158" t="s">
        <v>2886</v>
      </c>
      <c r="B158" t="s">
        <v>447</v>
      </c>
      <c r="C158" t="s">
        <v>2887</v>
      </c>
      <c r="E158" t="s">
        <v>2075</v>
      </c>
    </row>
    <row r="159" spans="1:5" x14ac:dyDescent="0.25">
      <c r="A159" t="s">
        <v>2902</v>
      </c>
      <c r="B159" t="s">
        <v>2930</v>
      </c>
      <c r="C159" t="s">
        <v>4752</v>
      </c>
      <c r="E159" t="s">
        <v>2075</v>
      </c>
    </row>
    <row r="160" spans="1:5" x14ac:dyDescent="0.25">
      <c r="A160" t="s">
        <v>4689</v>
      </c>
      <c r="B160" t="s">
        <v>447</v>
      </c>
      <c r="C160" t="s">
        <v>4691</v>
      </c>
      <c r="E160" t="s">
        <v>2075</v>
      </c>
    </row>
    <row r="161" spans="1:5" x14ac:dyDescent="0.25">
      <c r="A161" t="s">
        <v>4690</v>
      </c>
      <c r="B161" t="s">
        <v>447</v>
      </c>
      <c r="C161" t="s">
        <v>4692</v>
      </c>
      <c r="E161" t="s">
        <v>2075</v>
      </c>
    </row>
    <row r="162" spans="1:5" x14ac:dyDescent="0.25">
      <c r="A162" t="s">
        <v>2884</v>
      </c>
      <c r="B162" t="s">
        <v>447</v>
      </c>
      <c r="C162" t="s">
        <v>2885</v>
      </c>
      <c r="E162" t="s">
        <v>2075</v>
      </c>
    </row>
    <row r="163" spans="1:5" x14ac:dyDescent="0.25">
      <c r="A163" t="s">
        <v>4693</v>
      </c>
      <c r="B163" t="s">
        <v>447</v>
      </c>
      <c r="C163" t="s">
        <v>4694</v>
      </c>
      <c r="E163" t="s">
        <v>2075</v>
      </c>
    </row>
    <row r="164" spans="1:5" x14ac:dyDescent="0.25">
      <c r="A164" t="s">
        <v>4756</v>
      </c>
      <c r="B164" t="s">
        <v>447</v>
      </c>
      <c r="C164" t="s">
        <v>4760</v>
      </c>
    </row>
    <row r="165" spans="1:5" x14ac:dyDescent="0.25">
      <c r="A165" t="s">
        <v>4757</v>
      </c>
      <c r="B165" t="s">
        <v>447</v>
      </c>
      <c r="C165" t="s">
        <v>4760</v>
      </c>
    </row>
    <row r="166" spans="1:5" x14ac:dyDescent="0.25">
      <c r="A166" t="s">
        <v>4758</v>
      </c>
      <c r="B166" t="s">
        <v>447</v>
      </c>
      <c r="C166" t="s">
        <v>4760</v>
      </c>
    </row>
    <row r="167" spans="1:5" x14ac:dyDescent="0.25">
      <c r="A167" t="s">
        <v>4759</v>
      </c>
      <c r="B167" t="s">
        <v>447</v>
      </c>
      <c r="C167" t="s">
        <v>4760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39" workbookViewId="0">
      <selection activeCell="E53" sqref="E53"/>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2023</v>
      </c>
      <c r="B1" s="2" t="s">
        <v>446</v>
      </c>
      <c r="C1" s="2" t="s">
        <v>0</v>
      </c>
      <c r="D1" s="2" t="s">
        <v>1</v>
      </c>
    </row>
    <row r="2" spans="1:4" ht="15.75" thickTop="1" x14ac:dyDescent="0.25">
      <c r="A2" t="s">
        <v>2897</v>
      </c>
      <c r="B2" t="s">
        <v>2949</v>
      </c>
      <c r="C2" t="s">
        <v>2898</v>
      </c>
    </row>
    <row r="3" spans="1:4" x14ac:dyDescent="0.25">
      <c r="A3" t="s">
        <v>436</v>
      </c>
      <c r="B3" t="s">
        <v>2949</v>
      </c>
      <c r="C3" t="s">
        <v>437</v>
      </c>
    </row>
    <row r="4" spans="1:4" x14ac:dyDescent="0.25">
      <c r="A4" t="s">
        <v>2027</v>
      </c>
      <c r="B4" t="s">
        <v>447</v>
      </c>
      <c r="C4" t="s">
        <v>227</v>
      </c>
      <c r="D4" t="s">
        <v>450</v>
      </c>
    </row>
    <row r="5" spans="1:4" x14ac:dyDescent="0.25">
      <c r="A5" t="s">
        <v>2028</v>
      </c>
      <c r="B5" t="s">
        <v>447</v>
      </c>
      <c r="C5" t="s">
        <v>2615</v>
      </c>
      <c r="D5" t="s">
        <v>450</v>
      </c>
    </row>
    <row r="6" spans="1:4" x14ac:dyDescent="0.25">
      <c r="A6" t="s">
        <v>2053</v>
      </c>
      <c r="B6" t="s">
        <v>447</v>
      </c>
      <c r="C6" t="s">
        <v>2618</v>
      </c>
      <c r="D6" t="s">
        <v>1828</v>
      </c>
    </row>
    <row r="7" spans="1:4" x14ac:dyDescent="0.25">
      <c r="A7" t="s">
        <v>2029</v>
      </c>
      <c r="B7" t="s">
        <v>447</v>
      </c>
      <c r="C7" t="s">
        <v>229</v>
      </c>
      <c r="D7" t="s">
        <v>450</v>
      </c>
    </row>
    <row r="8" spans="1:4" x14ac:dyDescent="0.25">
      <c r="A8" t="s">
        <v>2083</v>
      </c>
      <c r="B8" t="s">
        <v>447</v>
      </c>
      <c r="C8" t="s">
        <v>2614</v>
      </c>
      <c r="D8" t="s">
        <v>450</v>
      </c>
    </row>
    <row r="9" spans="1:4" x14ac:dyDescent="0.25">
      <c r="A9" t="s">
        <v>2054</v>
      </c>
      <c r="B9" t="s">
        <v>447</v>
      </c>
      <c r="C9" t="s">
        <v>2619</v>
      </c>
      <c r="D9" t="s">
        <v>1828</v>
      </c>
    </row>
    <row r="10" spans="1:4" x14ac:dyDescent="0.25">
      <c r="A10" t="s">
        <v>2055</v>
      </c>
      <c r="B10" t="s">
        <v>447</v>
      </c>
      <c r="C10" t="s">
        <v>2620</v>
      </c>
      <c r="D10" t="s">
        <v>450</v>
      </c>
    </row>
    <row r="11" spans="1:4" x14ac:dyDescent="0.25">
      <c r="A11" t="s">
        <v>2030</v>
      </c>
      <c r="B11" t="s">
        <v>447</v>
      </c>
      <c r="C11" t="s">
        <v>2616</v>
      </c>
      <c r="D11" t="s">
        <v>450</v>
      </c>
    </row>
    <row r="12" spans="1:4" x14ac:dyDescent="0.25">
      <c r="A12" t="s">
        <v>2031</v>
      </c>
      <c r="B12" t="s">
        <v>447</v>
      </c>
      <c r="C12" t="s">
        <v>2617</v>
      </c>
      <c r="D12" t="s">
        <v>450</v>
      </c>
    </row>
    <row r="13" spans="1:4" x14ac:dyDescent="0.25">
      <c r="A13" t="s">
        <v>2056</v>
      </c>
      <c r="B13" t="s">
        <v>447</v>
      </c>
      <c r="C13" t="s">
        <v>2621</v>
      </c>
      <c r="D13" t="s">
        <v>450</v>
      </c>
    </row>
    <row r="14" spans="1:4" x14ac:dyDescent="0.25">
      <c r="A14" t="s">
        <v>2057</v>
      </c>
      <c r="B14" t="s">
        <v>447</v>
      </c>
      <c r="C14" t="s">
        <v>2622</v>
      </c>
      <c r="D14" t="s">
        <v>1827</v>
      </c>
    </row>
    <row r="15" spans="1:4" x14ac:dyDescent="0.25">
      <c r="A15" t="s">
        <v>2058</v>
      </c>
      <c r="B15" t="s">
        <v>447</v>
      </c>
      <c r="C15" t="s">
        <v>2623</v>
      </c>
      <c r="D15" t="s">
        <v>450</v>
      </c>
    </row>
    <row r="16" spans="1:4" x14ac:dyDescent="0.25">
      <c r="A16" t="s">
        <v>2059</v>
      </c>
      <c r="B16" t="s">
        <v>447</v>
      </c>
      <c r="C16" t="s">
        <v>2624</v>
      </c>
      <c r="D16" t="s">
        <v>450</v>
      </c>
    </row>
    <row r="17" spans="1:4" x14ac:dyDescent="0.25">
      <c r="A17" t="s">
        <v>2060</v>
      </c>
      <c r="B17" t="s">
        <v>447</v>
      </c>
      <c r="C17" t="s">
        <v>2625</v>
      </c>
      <c r="D17" t="s">
        <v>450</v>
      </c>
    </row>
    <row r="18" spans="1:4" x14ac:dyDescent="0.25">
      <c r="A18" t="s">
        <v>4083</v>
      </c>
      <c r="B18" t="s">
        <v>447</v>
      </c>
      <c r="C18" t="s">
        <v>2899</v>
      </c>
      <c r="D18" t="s">
        <v>450</v>
      </c>
    </row>
    <row r="19" spans="1:4" x14ac:dyDescent="0.25">
      <c r="A19" t="s">
        <v>2935</v>
      </c>
      <c r="B19" t="s">
        <v>447</v>
      </c>
      <c r="C19" t="s">
        <v>2952</v>
      </c>
      <c r="D19" t="s">
        <v>450</v>
      </c>
    </row>
    <row r="20" spans="1:4" x14ac:dyDescent="0.25">
      <c r="A20" t="s">
        <v>4080</v>
      </c>
      <c r="B20" t="s">
        <v>447</v>
      </c>
      <c r="C20" t="s">
        <v>4081</v>
      </c>
      <c r="D20" t="s">
        <v>450</v>
      </c>
    </row>
    <row r="21" spans="1:4" x14ac:dyDescent="0.25">
      <c r="A21" t="s">
        <v>2951</v>
      </c>
      <c r="B21" t="s">
        <v>447</v>
      </c>
      <c r="C21" t="s">
        <v>2953</v>
      </c>
      <c r="D21" t="s">
        <v>450</v>
      </c>
    </row>
    <row r="22" spans="1:4" x14ac:dyDescent="0.25">
      <c r="A22" t="s">
        <v>4040</v>
      </c>
      <c r="B22" t="s">
        <v>447</v>
      </c>
      <c r="C22" t="s">
        <v>4041</v>
      </c>
      <c r="D22" t="s">
        <v>450</v>
      </c>
    </row>
    <row r="23" spans="1:4" x14ac:dyDescent="0.25">
      <c r="A23" t="s">
        <v>4038</v>
      </c>
      <c r="B23" t="s">
        <v>447</v>
      </c>
      <c r="C23" t="s">
        <v>4039</v>
      </c>
      <c r="D23" t="s">
        <v>450</v>
      </c>
    </row>
    <row r="24" spans="1:4" x14ac:dyDescent="0.25">
      <c r="A24" t="s">
        <v>4490</v>
      </c>
      <c r="B24" t="s">
        <v>447</v>
      </c>
      <c r="C24" t="s">
        <v>4491</v>
      </c>
      <c r="D24" t="s">
        <v>450</v>
      </c>
    </row>
    <row r="25" spans="1:4" x14ac:dyDescent="0.25">
      <c r="A25" t="s">
        <v>2061</v>
      </c>
      <c r="B25" t="s">
        <v>447</v>
      </c>
      <c r="C25" t="s">
        <v>1860</v>
      </c>
      <c r="D25" t="s">
        <v>450</v>
      </c>
    </row>
    <row r="26" spans="1:4" x14ac:dyDescent="0.25">
      <c r="A26" t="s">
        <v>4772</v>
      </c>
      <c r="B26" t="s">
        <v>447</v>
      </c>
      <c r="C26" t="s">
        <v>4770</v>
      </c>
      <c r="D26" t="s">
        <v>450</v>
      </c>
    </row>
    <row r="27" spans="1:4" x14ac:dyDescent="0.25">
      <c r="A27" t="s">
        <v>4773</v>
      </c>
      <c r="B27" t="s">
        <v>447</v>
      </c>
      <c r="C27" t="s">
        <v>4771</v>
      </c>
      <c r="D27" t="s">
        <v>450</v>
      </c>
    </row>
    <row r="28" spans="1:4" x14ac:dyDescent="0.25">
      <c r="A28" t="s">
        <v>2062</v>
      </c>
      <c r="B28" t="s">
        <v>447</v>
      </c>
      <c r="C28" t="s">
        <v>1045</v>
      </c>
      <c r="D28" t="s">
        <v>450</v>
      </c>
    </row>
    <row r="29" spans="1:4" x14ac:dyDescent="0.25">
      <c r="A29" t="s">
        <v>2063</v>
      </c>
      <c r="B29" t="s">
        <v>447</v>
      </c>
      <c r="C29" t="s">
        <v>454</v>
      </c>
      <c r="D29" t="s">
        <v>450</v>
      </c>
    </row>
    <row r="30" spans="1:4" x14ac:dyDescent="0.25">
      <c r="A30" t="s">
        <v>2033</v>
      </c>
      <c r="B30" t="s">
        <v>447</v>
      </c>
      <c r="C30" t="s">
        <v>1892</v>
      </c>
      <c r="D30" t="s">
        <v>450</v>
      </c>
    </row>
    <row r="31" spans="1:4" x14ac:dyDescent="0.25">
      <c r="A31" t="s">
        <v>2064</v>
      </c>
      <c r="B31" t="s">
        <v>447</v>
      </c>
      <c r="C31" t="s">
        <v>1888</v>
      </c>
      <c r="D31" t="s">
        <v>450</v>
      </c>
    </row>
    <row r="32" spans="1:4" x14ac:dyDescent="0.25">
      <c r="A32" t="s">
        <v>2065</v>
      </c>
      <c r="B32" t="s">
        <v>447</v>
      </c>
      <c r="C32" t="s">
        <v>1889</v>
      </c>
      <c r="D32" t="s">
        <v>450</v>
      </c>
    </row>
    <row r="33" spans="1:4" x14ac:dyDescent="0.25">
      <c r="A33" t="s">
        <v>2066</v>
      </c>
      <c r="B33" t="s">
        <v>447</v>
      </c>
      <c r="C33" t="s">
        <v>1890</v>
      </c>
      <c r="D33" t="s">
        <v>450</v>
      </c>
    </row>
    <row r="34" spans="1:4" x14ac:dyDescent="0.25">
      <c r="A34" t="s">
        <v>2038</v>
      </c>
      <c r="B34" t="s">
        <v>448</v>
      </c>
      <c r="C34" t="s">
        <v>431</v>
      </c>
      <c r="D34" t="s">
        <v>451</v>
      </c>
    </row>
    <row r="35" spans="1:4" x14ac:dyDescent="0.25">
      <c r="A35" t="s">
        <v>2039</v>
      </c>
      <c r="B35" t="s">
        <v>448</v>
      </c>
      <c r="C35" t="s">
        <v>432</v>
      </c>
      <c r="D35" t="s">
        <v>451</v>
      </c>
    </row>
    <row r="36" spans="1:4" x14ac:dyDescent="0.25">
      <c r="A36" t="s">
        <v>2040</v>
      </c>
      <c r="B36" t="s">
        <v>448</v>
      </c>
      <c r="C36" t="s">
        <v>433</v>
      </c>
      <c r="D36" t="s">
        <v>452</v>
      </c>
    </row>
    <row r="37" spans="1:4" x14ac:dyDescent="0.25">
      <c r="A37" t="s">
        <v>2041</v>
      </c>
      <c r="B37" t="s">
        <v>448</v>
      </c>
      <c r="C37" t="s">
        <v>434</v>
      </c>
      <c r="D37" t="s">
        <v>452</v>
      </c>
    </row>
    <row r="38" spans="1:4" x14ac:dyDescent="0.25">
      <c r="A38" t="s">
        <v>2042</v>
      </c>
      <c r="B38" t="s">
        <v>448</v>
      </c>
      <c r="C38" t="s">
        <v>435</v>
      </c>
      <c r="D38" t="s">
        <v>452</v>
      </c>
    </row>
    <row r="39" spans="1:4" x14ac:dyDescent="0.25">
      <c r="A39" t="s">
        <v>2043</v>
      </c>
      <c r="B39" t="s">
        <v>448</v>
      </c>
      <c r="C39" t="s">
        <v>438</v>
      </c>
      <c r="D39" t="s">
        <v>451</v>
      </c>
    </row>
    <row r="40" spans="1:4" x14ac:dyDescent="0.25">
      <c r="A40" t="s">
        <v>2044</v>
      </c>
      <c r="B40" t="s">
        <v>448</v>
      </c>
      <c r="C40" t="s">
        <v>439</v>
      </c>
      <c r="D40" t="s">
        <v>451</v>
      </c>
    </row>
    <row r="41" spans="1:4" x14ac:dyDescent="0.25">
      <c r="A41" t="s">
        <v>2045</v>
      </c>
      <c r="B41" t="s">
        <v>448</v>
      </c>
      <c r="C41" t="s">
        <v>440</v>
      </c>
      <c r="D41" t="s">
        <v>451</v>
      </c>
    </row>
    <row r="42" spans="1:4" x14ac:dyDescent="0.25">
      <c r="A42" t="s">
        <v>2046</v>
      </c>
      <c r="B42" t="s">
        <v>448</v>
      </c>
      <c r="C42" t="s">
        <v>441</v>
      </c>
      <c r="D42" t="s">
        <v>451</v>
      </c>
    </row>
    <row r="43" spans="1:4" x14ac:dyDescent="0.25">
      <c r="A43" t="s">
        <v>2047</v>
      </c>
      <c r="B43" t="s">
        <v>448</v>
      </c>
      <c r="C43" t="s">
        <v>442</v>
      </c>
      <c r="D43" t="s">
        <v>451</v>
      </c>
    </row>
    <row r="44" spans="1:4" x14ac:dyDescent="0.25">
      <c r="A44" t="s">
        <v>2048</v>
      </c>
      <c r="B44" t="s">
        <v>448</v>
      </c>
      <c r="C44" t="s">
        <v>443</v>
      </c>
      <c r="D44" t="s">
        <v>452</v>
      </c>
    </row>
    <row r="45" spans="1:4" x14ac:dyDescent="0.25">
      <c r="A45" t="s">
        <v>2049</v>
      </c>
      <c r="B45" t="s">
        <v>448</v>
      </c>
      <c r="C45" t="s">
        <v>2015</v>
      </c>
      <c r="D45" t="s">
        <v>451</v>
      </c>
    </row>
    <row r="46" spans="1:4" x14ac:dyDescent="0.25">
      <c r="A46" t="s">
        <v>2050</v>
      </c>
      <c r="B46" t="s">
        <v>448</v>
      </c>
      <c r="C46" t="s">
        <v>444</v>
      </c>
      <c r="D46" t="s">
        <v>452</v>
      </c>
    </row>
    <row r="47" spans="1:4" x14ac:dyDescent="0.25">
      <c r="A47" t="s">
        <v>2051</v>
      </c>
      <c r="B47" t="s">
        <v>448</v>
      </c>
      <c r="C47" t="s">
        <v>445</v>
      </c>
      <c r="D47" t="s">
        <v>452</v>
      </c>
    </row>
    <row r="48" spans="1:4" x14ac:dyDescent="0.25">
      <c r="A48" t="s">
        <v>2052</v>
      </c>
      <c r="B48" t="s">
        <v>448</v>
      </c>
      <c r="C48" t="s">
        <v>1768</v>
      </c>
      <c r="D48" t="s">
        <v>450</v>
      </c>
    </row>
    <row r="49" spans="1:4" x14ac:dyDescent="0.25">
      <c r="A49" t="s">
        <v>2115</v>
      </c>
      <c r="B49" t="s">
        <v>447</v>
      </c>
      <c r="C49" t="s">
        <v>2114</v>
      </c>
      <c r="D49" t="s">
        <v>450</v>
      </c>
    </row>
    <row r="50" spans="1:4" x14ac:dyDescent="0.25">
      <c r="A50" t="s">
        <v>2116</v>
      </c>
      <c r="B50" t="s">
        <v>447</v>
      </c>
      <c r="C50" t="s">
        <v>2114</v>
      </c>
      <c r="D50" t="s">
        <v>450</v>
      </c>
    </row>
    <row r="51" spans="1:4" x14ac:dyDescent="0.25">
      <c r="A51" t="s">
        <v>2117</v>
      </c>
      <c r="B51" t="s">
        <v>447</v>
      </c>
      <c r="C51" t="s">
        <v>2114</v>
      </c>
      <c r="D51" t="s">
        <v>450</v>
      </c>
    </row>
    <row r="52" spans="1:4" x14ac:dyDescent="0.25">
      <c r="A52" t="s">
        <v>2118</v>
      </c>
      <c r="B52" t="s">
        <v>447</v>
      </c>
      <c r="C52" t="s">
        <v>2114</v>
      </c>
      <c r="D52" t="s">
        <v>450</v>
      </c>
    </row>
    <row r="53" spans="1:4" x14ac:dyDescent="0.25">
      <c r="A53" t="s">
        <v>2119</v>
      </c>
      <c r="B53" t="s">
        <v>447</v>
      </c>
      <c r="C53" t="s">
        <v>2114</v>
      </c>
      <c r="D53" t="s">
        <v>450</v>
      </c>
    </row>
    <row r="54" spans="1:4" x14ac:dyDescent="0.25">
      <c r="A54" t="s">
        <v>2120</v>
      </c>
      <c r="B54" t="s">
        <v>447</v>
      </c>
      <c r="C54" t="s">
        <v>2114</v>
      </c>
      <c r="D54" t="s">
        <v>450</v>
      </c>
    </row>
    <row r="55" spans="1:4" x14ac:dyDescent="0.25">
      <c r="A55" t="s">
        <v>4082</v>
      </c>
      <c r="B55" t="s">
        <v>447</v>
      </c>
      <c r="C55" t="s">
        <v>2114</v>
      </c>
      <c r="D55" t="s">
        <v>450</v>
      </c>
    </row>
    <row r="56" spans="1:4" x14ac:dyDescent="0.25">
      <c r="A56" t="s">
        <v>2121</v>
      </c>
      <c r="B56" t="s">
        <v>447</v>
      </c>
      <c r="C56" t="s">
        <v>2114</v>
      </c>
      <c r="D56" t="s">
        <v>450</v>
      </c>
    </row>
    <row r="57" spans="1:4" x14ac:dyDescent="0.25">
      <c r="A57" t="s">
        <v>2122</v>
      </c>
      <c r="B57" t="s">
        <v>447</v>
      </c>
      <c r="C57" t="s">
        <v>2114</v>
      </c>
      <c r="D57" t="s">
        <v>450</v>
      </c>
    </row>
    <row r="58" spans="1:4" x14ac:dyDescent="0.25">
      <c r="A58" t="s">
        <v>2123</v>
      </c>
      <c r="B58" t="s">
        <v>447</v>
      </c>
      <c r="C58" t="s">
        <v>2114</v>
      </c>
      <c r="D58" t="s">
        <v>450</v>
      </c>
    </row>
    <row r="59" spans="1:4" x14ac:dyDescent="0.25">
      <c r="A59" t="s">
        <v>2124</v>
      </c>
      <c r="B59" t="s">
        <v>447</v>
      </c>
      <c r="C59" t="s">
        <v>2114</v>
      </c>
      <c r="D59" t="s">
        <v>450</v>
      </c>
    </row>
    <row r="60" spans="1:4" x14ac:dyDescent="0.25">
      <c r="A60" t="s">
        <v>2893</v>
      </c>
      <c r="B60" t="s">
        <v>447</v>
      </c>
      <c r="C60" t="s">
        <v>2894</v>
      </c>
      <c r="D60" t="s">
        <v>450</v>
      </c>
    </row>
    <row r="61" spans="1:4" x14ac:dyDescent="0.25">
      <c r="A61" t="s">
        <v>2891</v>
      </c>
      <c r="B61" t="s">
        <v>447</v>
      </c>
      <c r="C61" t="s">
        <v>2892</v>
      </c>
      <c r="D61" t="s">
        <v>450</v>
      </c>
    </row>
    <row r="62" spans="1:4" x14ac:dyDescent="0.25">
      <c r="A62" t="s">
        <v>2032</v>
      </c>
      <c r="B62" t="s">
        <v>447</v>
      </c>
      <c r="C62" t="s">
        <v>1891</v>
      </c>
      <c r="D62" t="s">
        <v>450</v>
      </c>
    </row>
    <row r="63" spans="1:4" x14ac:dyDescent="0.25">
      <c r="A63" t="s">
        <v>2903</v>
      </c>
      <c r="B63" t="s">
        <v>447</v>
      </c>
      <c r="C63" t="s">
        <v>2895</v>
      </c>
      <c r="D63" t="s">
        <v>450</v>
      </c>
    </row>
    <row r="64" spans="1:4" x14ac:dyDescent="0.25">
      <c r="A64" t="s">
        <v>2034</v>
      </c>
      <c r="B64" t="s">
        <v>449</v>
      </c>
      <c r="C64" t="s">
        <v>2626</v>
      </c>
      <c r="D64" t="s">
        <v>453</v>
      </c>
    </row>
    <row r="65" spans="1:4" x14ac:dyDescent="0.25">
      <c r="A65" t="s">
        <v>2035</v>
      </c>
      <c r="B65" t="s">
        <v>449</v>
      </c>
      <c r="C65" t="s">
        <v>9</v>
      </c>
      <c r="D65" t="s">
        <v>453</v>
      </c>
    </row>
    <row r="66" spans="1:4" x14ac:dyDescent="0.25">
      <c r="A66" t="s">
        <v>2036</v>
      </c>
      <c r="B66" t="s">
        <v>449</v>
      </c>
      <c r="C66" t="s">
        <v>11</v>
      </c>
      <c r="D66" t="s">
        <v>453</v>
      </c>
    </row>
    <row r="67" spans="1:4" x14ac:dyDescent="0.25">
      <c r="A67" t="s">
        <v>2037</v>
      </c>
      <c r="B67" t="s">
        <v>449</v>
      </c>
      <c r="C67" t="s">
        <v>15</v>
      </c>
      <c r="D67" t="s">
        <v>453</v>
      </c>
    </row>
    <row r="68" spans="1:4" x14ac:dyDescent="0.25">
      <c r="A68" t="s">
        <v>4761</v>
      </c>
      <c r="B68" t="s">
        <v>1485</v>
      </c>
      <c r="C68" t="s">
        <v>4765</v>
      </c>
    </row>
    <row r="69" spans="1:4" x14ac:dyDescent="0.25">
      <c r="A69" t="s">
        <v>4762</v>
      </c>
      <c r="B69" t="s">
        <v>1485</v>
      </c>
      <c r="C69" t="s">
        <v>4765</v>
      </c>
    </row>
    <row r="70" spans="1:4" x14ac:dyDescent="0.25">
      <c r="A70" t="s">
        <v>4763</v>
      </c>
      <c r="B70" t="s">
        <v>1485</v>
      </c>
      <c r="C70" t="s">
        <v>4765</v>
      </c>
    </row>
    <row r="71" spans="1:4" x14ac:dyDescent="0.25">
      <c r="A71" t="s">
        <v>4764</v>
      </c>
      <c r="B71" t="s">
        <v>1485</v>
      </c>
      <c r="C71" t="s">
        <v>4765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topLeftCell="AH109" workbookViewId="0">
      <selection activeCell="AO123" sqref="AO123"/>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7"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38" t="s">
        <v>4243</v>
      </c>
      <c r="G1" s="1039"/>
      <c r="H1" s="1039"/>
      <c r="I1" s="1039"/>
      <c r="J1" s="1039"/>
      <c r="K1" s="1039"/>
      <c r="L1" s="1039"/>
      <c r="M1" s="1039"/>
      <c r="N1" s="1039"/>
      <c r="O1" s="1039"/>
      <c r="P1" s="1039"/>
      <c r="Q1" s="1039"/>
      <c r="R1" s="1039"/>
      <c r="S1" s="1039"/>
      <c r="T1" s="1039"/>
      <c r="U1" s="1039"/>
      <c r="V1" s="1039"/>
      <c r="W1" s="1039"/>
      <c r="X1" s="1039"/>
      <c r="Y1" s="1039"/>
      <c r="Z1" s="1040"/>
      <c r="AA1" s="1042" t="s">
        <v>2612</v>
      </c>
      <c r="AB1" s="109"/>
      <c r="AC1" s="1039" t="s">
        <v>147</v>
      </c>
      <c r="AD1" s="1039"/>
      <c r="AE1" s="1039"/>
      <c r="AF1" s="1039"/>
      <c r="AG1" s="1039"/>
      <c r="AH1" s="1044" t="s">
        <v>2640</v>
      </c>
      <c r="AJ1" s="1044" t="s">
        <v>2641</v>
      </c>
      <c r="AK1" s="1037" t="s">
        <v>394</v>
      </c>
      <c r="AL1" s="1037"/>
      <c r="AM1" s="1037"/>
      <c r="AN1" s="1037"/>
      <c r="AO1" s="1037"/>
      <c r="AP1" s="1037"/>
      <c r="AQ1" s="1037"/>
      <c r="AR1" s="1037"/>
      <c r="AS1" s="1037"/>
      <c r="AT1" s="1037"/>
      <c r="AU1" s="1037"/>
      <c r="AV1" s="1037"/>
      <c r="AW1" s="1037"/>
      <c r="AX1" s="1037"/>
      <c r="AY1" s="1037"/>
      <c r="AZ1" s="1037"/>
      <c r="BA1" s="1037"/>
      <c r="BB1" s="1037"/>
      <c r="BC1" s="1037"/>
      <c r="BD1" s="1037"/>
      <c r="BE1" s="1037"/>
      <c r="BH1" s="1045" t="s">
        <v>4380</v>
      </c>
      <c r="BI1" s="1045"/>
      <c r="BJ1" s="1045"/>
      <c r="BK1" s="1045"/>
      <c r="BL1" s="1045"/>
      <c r="BM1" s="1045"/>
      <c r="BN1" s="1045"/>
      <c r="BO1" s="1045"/>
      <c r="BP1" s="1045"/>
      <c r="BQ1" s="1045"/>
      <c r="BR1" s="1045"/>
      <c r="BS1" s="1045"/>
      <c r="BT1" s="1045"/>
      <c r="BU1" s="1045"/>
      <c r="BV1" s="1045"/>
      <c r="BW1" s="1045"/>
      <c r="BX1" s="1045"/>
      <c r="BY1" s="1045"/>
      <c r="BZ1" s="1045"/>
    </row>
    <row r="2" spans="1:89" s="106" customFormat="1" ht="96" customHeight="1" thickBot="1" x14ac:dyDescent="0.3">
      <c r="A2" s="724" t="s">
        <v>92</v>
      </c>
      <c r="B2" s="724" t="s">
        <v>93</v>
      </c>
      <c r="C2" s="724" t="s">
        <v>179</v>
      </c>
      <c r="D2" s="724" t="s">
        <v>143</v>
      </c>
      <c r="E2" s="725" t="s">
        <v>94</v>
      </c>
      <c r="F2" s="724">
        <v>2000</v>
      </c>
      <c r="G2" s="724">
        <v>2001</v>
      </c>
      <c r="H2" s="724">
        <v>2002</v>
      </c>
      <c r="I2" s="724">
        <v>2003</v>
      </c>
      <c r="J2" s="724">
        <v>2004</v>
      </c>
      <c r="K2" s="724">
        <v>2005</v>
      </c>
      <c r="L2" s="724">
        <v>2006</v>
      </c>
      <c r="M2" s="724">
        <v>2007</v>
      </c>
      <c r="N2" s="724">
        <v>2008</v>
      </c>
      <c r="O2" s="724">
        <v>2009</v>
      </c>
      <c r="P2" s="724">
        <v>2010</v>
      </c>
      <c r="Q2" s="724">
        <v>2011</v>
      </c>
      <c r="R2" s="724">
        <v>2012</v>
      </c>
      <c r="S2" s="724">
        <v>2013</v>
      </c>
      <c r="T2" s="724">
        <v>2014</v>
      </c>
      <c r="U2" s="724">
        <v>2015</v>
      </c>
      <c r="V2" s="724">
        <v>2016</v>
      </c>
      <c r="W2" s="724">
        <v>2017</v>
      </c>
      <c r="X2" s="724">
        <v>2018</v>
      </c>
      <c r="Y2" s="724">
        <v>2019</v>
      </c>
      <c r="Z2" s="725">
        <v>2020</v>
      </c>
      <c r="AA2" s="1043"/>
      <c r="AB2" s="725" t="s">
        <v>91</v>
      </c>
      <c r="AC2" s="727" t="s">
        <v>148</v>
      </c>
      <c r="AD2" s="722" t="s">
        <v>152</v>
      </c>
      <c r="AE2" s="722" t="s">
        <v>149</v>
      </c>
      <c r="AF2" s="722" t="s">
        <v>150</v>
      </c>
      <c r="AG2" s="722" t="s">
        <v>151</v>
      </c>
      <c r="AH2" s="1044"/>
      <c r="AI2" s="735"/>
      <c r="AJ2" s="1044"/>
      <c r="AK2" s="738" t="s">
        <v>130</v>
      </c>
      <c r="AL2" s="738" t="s">
        <v>277</v>
      </c>
      <c r="AM2" s="738">
        <v>2005</v>
      </c>
      <c r="AN2" s="738">
        <v>2006</v>
      </c>
      <c r="AO2" s="738">
        <v>2007</v>
      </c>
      <c r="AP2" s="738">
        <v>2008</v>
      </c>
      <c r="AQ2" s="738">
        <v>2009</v>
      </c>
      <c r="AR2" s="739">
        <v>2010</v>
      </c>
      <c r="AS2" s="740">
        <v>2011</v>
      </c>
      <c r="AT2" s="738">
        <v>2012</v>
      </c>
      <c r="AU2" s="738">
        <v>2013</v>
      </c>
      <c r="AV2" s="738">
        <v>2014</v>
      </c>
      <c r="AW2" s="738">
        <v>2015</v>
      </c>
      <c r="AX2" s="738">
        <v>2016</v>
      </c>
      <c r="AY2" s="738">
        <v>2017</v>
      </c>
      <c r="AZ2" s="738">
        <v>2018</v>
      </c>
      <c r="BA2" s="738">
        <v>2019</v>
      </c>
      <c r="BB2" s="738">
        <v>2020</v>
      </c>
      <c r="BC2" s="738">
        <v>2021</v>
      </c>
      <c r="BD2" s="738">
        <v>2022</v>
      </c>
      <c r="BE2" s="738">
        <v>2023</v>
      </c>
      <c r="BF2" s="868" t="s">
        <v>4278</v>
      </c>
      <c r="BH2" s="738" t="s">
        <v>4314</v>
      </c>
      <c r="BI2" s="738">
        <v>2003</v>
      </c>
      <c r="BJ2" s="738">
        <v>2004</v>
      </c>
      <c r="BK2" s="738">
        <v>2005</v>
      </c>
      <c r="BL2" s="738">
        <v>2006</v>
      </c>
      <c r="BM2" s="738">
        <v>2007</v>
      </c>
      <c r="BN2" s="738">
        <v>2008</v>
      </c>
      <c r="BO2" s="738">
        <v>2009</v>
      </c>
      <c r="BP2" s="738">
        <v>2010</v>
      </c>
      <c r="BQ2" s="738">
        <v>2011</v>
      </c>
      <c r="BR2" s="738">
        <v>2012</v>
      </c>
      <c r="BS2" s="738">
        <v>2013</v>
      </c>
      <c r="BT2" s="738">
        <v>2014</v>
      </c>
      <c r="BU2" s="738">
        <v>2015</v>
      </c>
      <c r="BV2" s="738">
        <v>2016</v>
      </c>
      <c r="BW2" s="738">
        <v>2017</v>
      </c>
      <c r="BX2" s="738">
        <v>2018</v>
      </c>
      <c r="BY2" s="738">
        <v>2019</v>
      </c>
      <c r="BZ2" s="738">
        <v>2020</v>
      </c>
      <c r="CA2" s="738">
        <v>2021</v>
      </c>
      <c r="CI2" s="766"/>
      <c r="CJ2" s="766"/>
      <c r="CK2" s="766"/>
    </row>
    <row r="3" spans="1:89" ht="15" customHeight="1" thickTop="1" x14ac:dyDescent="0.25">
      <c r="A3" t="s">
        <v>4432</v>
      </c>
      <c r="B3" t="s">
        <v>95</v>
      </c>
      <c r="C3" t="s">
        <v>161</v>
      </c>
      <c r="D3">
        <v>2023</v>
      </c>
      <c r="E3" s="52" t="s">
        <v>944</v>
      </c>
      <c r="F3" s="873"/>
      <c r="G3" s="874"/>
      <c r="H3" s="874"/>
      <c r="I3" s="874"/>
      <c r="J3" s="875"/>
      <c r="K3" s="875"/>
      <c r="L3" s="875"/>
      <c r="M3" s="875"/>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49">
        <f>SUM(J3:Z7)/'Background Data'!X11</f>
        <v>0.9261510683324029</v>
      </c>
      <c r="AB3" s="52" t="s">
        <v>4470</v>
      </c>
      <c r="AC3" s="377">
        <v>1</v>
      </c>
      <c r="AD3" s="377">
        <v>1</v>
      </c>
      <c r="AE3" s="377">
        <v>1</v>
      </c>
      <c r="AF3" s="377">
        <v>1</v>
      </c>
      <c r="AG3" s="377">
        <v>1</v>
      </c>
      <c r="AH3" s="1044"/>
      <c r="AJ3" s="1044"/>
      <c r="AK3" s="28" t="s">
        <v>17</v>
      </c>
      <c r="AL3" s="1046"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3" t="s">
        <v>4324</v>
      </c>
      <c r="BI3" s="882">
        <f>2021-BI2</f>
        <v>18</v>
      </c>
      <c r="BJ3" s="882">
        <f t="shared" ref="BJ3:BZ3" si="1">2021-BJ2</f>
        <v>17</v>
      </c>
      <c r="BK3" s="882">
        <f t="shared" si="1"/>
        <v>16</v>
      </c>
      <c r="BL3" s="882">
        <f t="shared" si="1"/>
        <v>15</v>
      </c>
      <c r="BM3" s="882">
        <f t="shared" si="1"/>
        <v>14</v>
      </c>
      <c r="BN3" s="882">
        <f t="shared" si="1"/>
        <v>13</v>
      </c>
      <c r="BO3" s="882">
        <f t="shared" si="1"/>
        <v>12</v>
      </c>
      <c r="BP3" s="882">
        <f t="shared" si="1"/>
        <v>11</v>
      </c>
      <c r="BQ3" s="882">
        <f t="shared" si="1"/>
        <v>10</v>
      </c>
      <c r="BR3" s="882">
        <f t="shared" si="1"/>
        <v>9</v>
      </c>
      <c r="BS3" s="882">
        <f t="shared" si="1"/>
        <v>8</v>
      </c>
      <c r="BT3" s="882">
        <f t="shared" si="1"/>
        <v>7</v>
      </c>
      <c r="BU3" s="882">
        <f t="shared" si="1"/>
        <v>6</v>
      </c>
      <c r="BV3" s="882">
        <f t="shared" si="1"/>
        <v>5</v>
      </c>
      <c r="BW3" s="882">
        <f t="shared" si="1"/>
        <v>4</v>
      </c>
      <c r="BX3" s="882">
        <f t="shared" si="1"/>
        <v>3</v>
      </c>
      <c r="BY3" s="882">
        <f t="shared" si="1"/>
        <v>2</v>
      </c>
      <c r="BZ3" s="882">
        <f t="shared" si="1"/>
        <v>1</v>
      </c>
      <c r="CA3" s="882">
        <v>0</v>
      </c>
      <c r="CH3" s="289"/>
      <c r="CI3" s="289"/>
      <c r="CJ3" s="289"/>
      <c r="CK3" s="289"/>
    </row>
    <row r="4" spans="1:89" x14ac:dyDescent="0.25">
      <c r="A4" t="s">
        <v>4433</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41"/>
      <c r="AB4" s="52" t="s">
        <v>4470</v>
      </c>
      <c r="AC4" s="377">
        <v>1</v>
      </c>
      <c r="AD4" s="377">
        <v>1</v>
      </c>
      <c r="AE4" s="377">
        <v>1</v>
      </c>
      <c r="AF4" s="377">
        <v>1</v>
      </c>
      <c r="AG4" s="377">
        <v>1</v>
      </c>
      <c r="AH4" s="1044"/>
      <c r="AJ4" s="1044"/>
      <c r="AK4" s="48" t="s">
        <v>108</v>
      </c>
      <c r="AL4" s="1047"/>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8">
        <f>'Background Data'!AL67/BA$3</f>
        <v>0.92714469003324196</v>
      </c>
      <c r="BB4" s="859">
        <f>'Background Data'!AM67/BB$3</f>
        <v>0.91274839351469306</v>
      </c>
      <c r="BC4" s="859">
        <f>'Background Data'!AN67/BC$3</f>
        <v>0.88228947552257575</v>
      </c>
      <c r="BD4" s="859">
        <f>'Background Data'!AO67/BD$3</f>
        <v>0.81975935172300896</v>
      </c>
      <c r="BE4" s="864">
        <f>'Background Data'!AP67/BE$3</f>
        <v>0.80563846529549032</v>
      </c>
      <c r="BF4" s="991">
        <f>1 - BE4/BA4</f>
        <v>0.13105422060217498</v>
      </c>
      <c r="BH4" s="28" t="s">
        <v>4315</v>
      </c>
      <c r="BL4" s="12">
        <v>171090</v>
      </c>
      <c r="BM4" s="12">
        <v>222416</v>
      </c>
      <c r="BN4" s="880">
        <v>255644</v>
      </c>
      <c r="BO4" s="880">
        <v>262822</v>
      </c>
      <c r="BP4" s="880">
        <v>347718</v>
      </c>
      <c r="BQ4" s="880">
        <v>325214</v>
      </c>
      <c r="BR4" s="880">
        <v>369730</v>
      </c>
      <c r="BS4" s="880">
        <v>420215</v>
      </c>
      <c r="BT4" s="880">
        <v>425526</v>
      </c>
      <c r="BU4" s="880">
        <v>489953</v>
      </c>
      <c r="BV4" s="880">
        <v>486871</v>
      </c>
      <c r="BW4" s="880">
        <v>543758</v>
      </c>
      <c r="BX4" s="880">
        <v>534711</v>
      </c>
      <c r="BY4" s="880">
        <v>517396</v>
      </c>
      <c r="BZ4" s="880">
        <v>422696</v>
      </c>
      <c r="CA4" s="12">
        <v>430762</v>
      </c>
      <c r="CH4" s="289"/>
      <c r="CI4" s="289"/>
      <c r="CJ4" s="289"/>
      <c r="CK4" s="289"/>
    </row>
    <row r="5" spans="1:89" x14ac:dyDescent="0.25">
      <c r="A5" t="s">
        <v>4434</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41"/>
      <c r="AB5" s="52" t="s">
        <v>4470</v>
      </c>
      <c r="AC5" s="377">
        <v>1</v>
      </c>
      <c r="AD5" s="377">
        <v>1</v>
      </c>
      <c r="AE5" s="377">
        <v>1</v>
      </c>
      <c r="AF5" s="377">
        <v>1</v>
      </c>
      <c r="AG5" s="377">
        <v>1</v>
      </c>
      <c r="AH5" s="1044"/>
      <c r="AJ5" s="1044"/>
      <c r="AK5" s="48" t="s">
        <v>107</v>
      </c>
      <c r="AL5" s="1047"/>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6"/>
      <c r="BH5" s="75" t="s">
        <v>4316</v>
      </c>
      <c r="BN5" s="879">
        <f>BN4/SUM($BN$4:$CA$4)</f>
        <v>4.3827069906888651E-2</v>
      </c>
      <c r="BO5" s="879">
        <f t="shared" ref="BO5:CA5" si="2">BO4/SUM($BN$4:$CA$4)</f>
        <v>4.5057651136221809E-2</v>
      </c>
      <c r="BP5" s="879">
        <f t="shared" si="2"/>
        <v>5.9612042895133492E-2</v>
      </c>
      <c r="BQ5" s="879">
        <f t="shared" si="2"/>
        <v>5.5754004446413312E-2</v>
      </c>
      <c r="BR5" s="879">
        <f t="shared" si="2"/>
        <v>6.338573389820977E-2</v>
      </c>
      <c r="BS5" s="879">
        <f t="shared" si="2"/>
        <v>7.2040776161080303E-2</v>
      </c>
      <c r="BT5" s="879">
        <f t="shared" si="2"/>
        <v>7.2951282835500536E-2</v>
      </c>
      <c r="BU5" s="879">
        <f t="shared" si="2"/>
        <v>8.39965122674102E-2</v>
      </c>
      <c r="BV5" s="879">
        <f t="shared" si="2"/>
        <v>8.3468140666852278E-2</v>
      </c>
      <c r="BW5" s="879">
        <f t="shared" si="2"/>
        <v>9.3220728350479412E-2</v>
      </c>
      <c r="BX5" s="879">
        <f t="shared" si="2"/>
        <v>9.1669729690438018E-2</v>
      </c>
      <c r="BY5" s="879">
        <f t="shared" si="2"/>
        <v>8.8701282492624739E-2</v>
      </c>
      <c r="BZ5" s="879">
        <f t="shared" si="2"/>
        <v>7.2466113585150455E-2</v>
      </c>
      <c r="CA5" s="879">
        <f t="shared" si="2"/>
        <v>7.3848931667596998E-2</v>
      </c>
      <c r="CH5" s="289"/>
      <c r="CI5" s="289"/>
      <c r="CJ5" s="289"/>
      <c r="CK5" s="289"/>
    </row>
    <row r="6" spans="1:89" x14ac:dyDescent="0.25">
      <c r="A6" t="s">
        <v>4435</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41"/>
      <c r="AB6" s="52" t="s">
        <v>4470</v>
      </c>
      <c r="AC6" s="377">
        <v>1</v>
      </c>
      <c r="AD6" s="377">
        <v>1</v>
      </c>
      <c r="AE6" s="377">
        <v>1</v>
      </c>
      <c r="AF6" s="377">
        <v>1</v>
      </c>
      <c r="AG6" s="377">
        <v>1</v>
      </c>
      <c r="AH6" s="1044"/>
      <c r="AJ6" s="1044"/>
      <c r="AK6" s="48" t="s">
        <v>131</v>
      </c>
      <c r="AL6" s="1047"/>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6"/>
      <c r="BH6" s="75" t="s">
        <v>4333</v>
      </c>
      <c r="BI6" s="80"/>
      <c r="BJ6" s="80"/>
      <c r="BK6" s="80"/>
      <c r="BL6" s="80"/>
      <c r="BM6" s="80"/>
      <c r="BN6" s="435">
        <f>'Background Data'!$X$11*BN5</f>
        <v>180.55727248202302</v>
      </c>
      <c r="BO6" s="435">
        <f>'Background Data'!$X$11*BO5</f>
        <v>185.62697919086796</v>
      </c>
      <c r="BP6" s="435">
        <f>'Background Data'!$X$11*BP5</f>
        <v>245.58766750991251</v>
      </c>
      <c r="BQ6" s="435">
        <f>'Background Data'!$X$11*BQ5</f>
        <v>229.69345188218236</v>
      </c>
      <c r="BR6" s="435">
        <f>'Background Data'!$X$11*BR5</f>
        <v>261.13439139889203</v>
      </c>
      <c r="BS6" s="435">
        <f>'Background Data'!$X$11*BS5</f>
        <v>296.79114024202914</v>
      </c>
      <c r="BT6" s="435">
        <f>'Background Data'!$X$11*BT5</f>
        <v>300.54221468207868</v>
      </c>
      <c r="BU6" s="435">
        <f>'Background Data'!$X$11*BU5</f>
        <v>346.04597535785945</v>
      </c>
      <c r="BV6" s="435">
        <f>'Background Data'!$X$11*BV5</f>
        <v>343.86920800251534</v>
      </c>
      <c r="BW6" s="435">
        <f>'Background Data'!$X$11*BW5</f>
        <v>384.04758715354114</v>
      </c>
      <c r="BX6" s="435">
        <f>'Background Data'!$X$11*BX5</f>
        <v>377.65783560785701</v>
      </c>
      <c r="BY6" s="435">
        <f>'Background Data'!$X$11*BY5</f>
        <v>365.42852776951059</v>
      </c>
      <c r="BZ6" s="435">
        <f>'Background Data'!$X$11*BZ5</f>
        <v>298.54343090024093</v>
      </c>
      <c r="CH6" s="289"/>
      <c r="CI6" s="289"/>
      <c r="CJ6" s="289"/>
      <c r="CK6" s="289"/>
    </row>
    <row r="7" spans="1:89" x14ac:dyDescent="0.25">
      <c r="A7" t="s">
        <v>4436</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41"/>
      <c r="AB7" s="52" t="s">
        <v>4470</v>
      </c>
      <c r="AC7" s="377">
        <v>1</v>
      </c>
      <c r="AD7" s="377">
        <v>1</v>
      </c>
      <c r="AE7" s="377">
        <v>1</v>
      </c>
      <c r="AF7" s="377">
        <v>1</v>
      </c>
      <c r="AG7" s="377">
        <v>1</v>
      </c>
      <c r="AH7" s="1044"/>
      <c r="AJ7" s="1044"/>
      <c r="AK7" s="48" t="s">
        <v>132</v>
      </c>
      <c r="AL7" s="1047"/>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91">
        <f>BE7/BA7 - 1</f>
        <v>1.5317935711115354</v>
      </c>
      <c r="BH7" s="75" t="s">
        <v>4318</v>
      </c>
      <c r="BJ7" s="80"/>
      <c r="BK7" s="80"/>
      <c r="BL7" s="879">
        <f>BL4/SUM($BL$4:$CA$4)</f>
        <v>2.7477619126697054E-2</v>
      </c>
      <c r="BM7" s="879">
        <f t="shared" ref="BM7:CA7" si="3">BM4/SUM($BL$4:$CA$4)</f>
        <v>3.5720744261403078E-2</v>
      </c>
      <c r="BN7" s="879">
        <f t="shared" si="3"/>
        <v>4.1057270816677434E-2</v>
      </c>
      <c r="BO7" s="879">
        <f t="shared" si="3"/>
        <v>4.2210081326300622E-2</v>
      </c>
      <c r="BP7" s="879">
        <f t="shared" si="3"/>
        <v>5.5844659345939837E-2</v>
      </c>
      <c r="BQ7" s="879">
        <f t="shared" si="3"/>
        <v>5.2230442613067134E-2</v>
      </c>
      <c r="BR7" s="879">
        <f t="shared" si="3"/>
        <v>5.9379859253689299E-2</v>
      </c>
      <c r="BS7" s="879">
        <f t="shared" si="3"/>
        <v>6.7487917010491574E-2</v>
      </c>
      <c r="BT7" s="879">
        <f t="shared" si="3"/>
        <v>6.8340881153234501E-2</v>
      </c>
      <c r="BU7" s="879">
        <f t="shared" si="3"/>
        <v>7.8688070161801404E-2</v>
      </c>
      <c r="BV7" s="879">
        <f t="shared" si="3"/>
        <v>7.8193090781659494E-2</v>
      </c>
      <c r="BW7" s="879">
        <f t="shared" si="3"/>
        <v>8.7329330884882442E-2</v>
      </c>
      <c r="BX7" s="879">
        <f t="shared" si="3"/>
        <v>8.5876352801772804E-2</v>
      </c>
      <c r="BY7" s="879">
        <f t="shared" si="3"/>
        <v>8.3095506608665326E-2</v>
      </c>
      <c r="BZ7" s="879">
        <f t="shared" si="3"/>
        <v>6.7886373805472786E-2</v>
      </c>
      <c r="CA7" s="879">
        <f t="shared" si="3"/>
        <v>6.9181800048245229E-2</v>
      </c>
      <c r="CH7" s="289"/>
      <c r="CI7" s="289"/>
      <c r="CJ7" s="289"/>
      <c r="CK7" s="289"/>
    </row>
    <row r="8" spans="1:89" x14ac:dyDescent="0.25">
      <c r="A8" t="s">
        <v>4437</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41">
        <f>SUM(J8:Z12)/'Background Data'!X12</f>
        <v>0.92677199245421438</v>
      </c>
      <c r="AB8" s="52" t="s">
        <v>4471</v>
      </c>
      <c r="AC8" s="377">
        <v>1</v>
      </c>
      <c r="AD8" s="377">
        <v>1</v>
      </c>
      <c r="AE8" s="377">
        <v>1</v>
      </c>
      <c r="AF8" s="377">
        <v>1</v>
      </c>
      <c r="AG8" s="377">
        <v>1</v>
      </c>
      <c r="AH8" s="1044"/>
      <c r="AJ8" s="1044"/>
      <c r="AK8" s="48" t="s">
        <v>133</v>
      </c>
      <c r="AL8" s="1047"/>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6"/>
      <c r="BH8" s="75" t="s">
        <v>4334</v>
      </c>
      <c r="BL8" s="435">
        <f>'Background Data'!$X$12*BL7</f>
        <v>113.00069198663394</v>
      </c>
      <c r="BM8" s="435">
        <f>'Background Data'!$X$12*BM7</f>
        <v>146.90023910748249</v>
      </c>
      <c r="BN8" s="435">
        <f>'Background Data'!$X$12*BN7</f>
        <v>168.84650711456572</v>
      </c>
      <c r="BO8" s="435">
        <f>'Background Data'!$X$12*BO7</f>
        <v>173.58739768140222</v>
      </c>
      <c r="BP8" s="435">
        <f>'Background Data'!$X$12*BP7</f>
        <v>229.65909530778177</v>
      </c>
      <c r="BQ8" s="435">
        <f>'Background Data'!$X$12*BQ7</f>
        <v>214.7957627198619</v>
      </c>
      <c r="BR8" s="435">
        <f>'Background Data'!$X$12*BR7</f>
        <v>244.19747412600483</v>
      </c>
      <c r="BS8" s="435">
        <f>'Background Data'!$X$12*BS7</f>
        <v>277.54156165271718</v>
      </c>
      <c r="BT8" s="435">
        <f>'Background Data'!$X$12*BT7</f>
        <v>281.04934513007419</v>
      </c>
      <c r="BU8" s="435">
        <f>'Background Data'!$X$12*BU7</f>
        <v>323.60177708181226</v>
      </c>
      <c r="BV8" s="435">
        <f>'Background Data'!$X$12*BV7</f>
        <v>321.5661926952157</v>
      </c>
      <c r="BW8" s="435">
        <f>'Background Data'!$X$12*BW7</f>
        <v>359.13864207883626</v>
      </c>
      <c r="BX8" s="435">
        <f>'Background Data'!$X$12*BX7</f>
        <v>353.16332347223698</v>
      </c>
      <c r="BY8" s="435">
        <f>'Background Data'!$X$12*BY7</f>
        <v>341.72719639439163</v>
      </c>
      <c r="BZ8" s="435">
        <f>'Background Data'!$X$12*BZ7</f>
        <v>279.18020047917599</v>
      </c>
      <c r="CH8" s="289"/>
      <c r="CI8" s="289"/>
      <c r="CJ8" s="289"/>
      <c r="CK8" s="289"/>
    </row>
    <row r="9" spans="1:89" x14ac:dyDescent="0.25">
      <c r="A9" t="s">
        <v>4438</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41"/>
      <c r="AB9" s="52" t="s">
        <v>4471</v>
      </c>
      <c r="AC9" s="377">
        <v>1</v>
      </c>
      <c r="AD9" s="377">
        <v>1</v>
      </c>
      <c r="AE9" s="377">
        <v>1</v>
      </c>
      <c r="AF9" s="377">
        <v>1</v>
      </c>
      <c r="AG9" s="377">
        <v>1</v>
      </c>
      <c r="AH9" s="1044"/>
      <c r="AJ9" s="1044"/>
      <c r="AK9" s="28" t="s">
        <v>142</v>
      </c>
      <c r="AL9" s="1047"/>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4317</v>
      </c>
      <c r="BI9" s="880">
        <v>26945</v>
      </c>
      <c r="BJ9" s="880">
        <v>30185</v>
      </c>
      <c r="BK9" s="880">
        <v>36137</v>
      </c>
      <c r="BL9" s="880">
        <v>42697</v>
      </c>
      <c r="BM9" s="880">
        <v>52407</v>
      </c>
      <c r="BN9" s="880">
        <v>53633</v>
      </c>
      <c r="BO9" s="880">
        <v>44846</v>
      </c>
      <c r="BP9" s="880">
        <v>62915</v>
      </c>
      <c r="BQ9" s="880">
        <v>68877</v>
      </c>
      <c r="BR9" s="880">
        <v>59224</v>
      </c>
      <c r="BS9" s="880">
        <v>60904</v>
      </c>
      <c r="BT9" s="880">
        <v>71922</v>
      </c>
      <c r="BU9" s="880">
        <v>80891</v>
      </c>
      <c r="BV9" s="880">
        <v>100677</v>
      </c>
      <c r="BW9" s="880">
        <v>117816</v>
      </c>
      <c r="BX9" s="880">
        <v>123742</v>
      </c>
      <c r="BY9" s="880">
        <v>143314</v>
      </c>
      <c r="BZ9" s="880">
        <v>112553</v>
      </c>
      <c r="CA9" s="12">
        <v>129859</v>
      </c>
      <c r="CI9" s="80"/>
    </row>
    <row r="10" spans="1:89" ht="15" customHeight="1" x14ac:dyDescent="0.25">
      <c r="A10" t="s">
        <v>4439</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41"/>
      <c r="AB10" s="52" t="s">
        <v>4471</v>
      </c>
      <c r="AC10" s="377">
        <v>1</v>
      </c>
      <c r="AD10" s="377">
        <v>1</v>
      </c>
      <c r="AE10" s="377">
        <v>1</v>
      </c>
      <c r="AF10" s="377">
        <v>1</v>
      </c>
      <c r="AG10" s="377">
        <v>1</v>
      </c>
      <c r="AH10" s="1044"/>
      <c r="AJ10" s="1044"/>
      <c r="AK10" s="17" t="s">
        <v>108</v>
      </c>
      <c r="AL10" s="1047"/>
      <c r="AM10" s="1050" t="s">
        <v>722</v>
      </c>
      <c r="AN10" s="1050"/>
      <c r="AO10" s="1050"/>
      <c r="AP10" s="1050"/>
      <c r="AQ10" s="1050"/>
      <c r="AR10" s="1051"/>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6"/>
      <c r="BH10" s="75" t="s">
        <v>4318</v>
      </c>
      <c r="BL10" s="879">
        <f>BL9/SUM($BL$9:$CA$9)</f>
        <v>3.2193124060810825E-2</v>
      </c>
      <c r="BM10" s="879">
        <f t="shared" ref="BM10:CA10" si="5">BM9/SUM($BL$9:$CA$9)</f>
        <v>3.9514369924231511E-2</v>
      </c>
      <c r="BN10" s="879">
        <f t="shared" si="5"/>
        <v>4.0438762038397712E-2</v>
      </c>
      <c r="BO10" s="879">
        <f t="shared" si="5"/>
        <v>3.3813449226669845E-2</v>
      </c>
      <c r="BP10" s="879">
        <f t="shared" si="5"/>
        <v>4.7437300051195945E-2</v>
      </c>
      <c r="BQ10" s="879">
        <f t="shared" si="5"/>
        <v>5.1932590250754557E-2</v>
      </c>
      <c r="BR10" s="879">
        <f t="shared" si="5"/>
        <v>4.4654321834729852E-2</v>
      </c>
      <c r="BS10" s="879">
        <f t="shared" si="5"/>
        <v>4.592102554745351E-2</v>
      </c>
      <c r="BT10" s="879">
        <f t="shared" si="5"/>
        <v>5.4228490730066192E-2</v>
      </c>
      <c r="BU10" s="879">
        <f t="shared" si="5"/>
        <v>6.0991029777339126E-2</v>
      </c>
      <c r="BV10" s="879">
        <f t="shared" si="5"/>
        <v>7.5909481955881014E-2</v>
      </c>
      <c r="BW10" s="879">
        <f t="shared" si="5"/>
        <v>8.8832121796577942E-2</v>
      </c>
      <c r="BX10" s="879">
        <f t="shared" si="5"/>
        <v>9.3300268345149623E-2</v>
      </c>
      <c r="BY10" s="879">
        <f t="shared" si="5"/>
        <v>0.10805736659838028</v>
      </c>
      <c r="BZ10" s="879">
        <f t="shared" si="5"/>
        <v>8.4863870820348991E-2</v>
      </c>
      <c r="CA10" s="879">
        <f t="shared" si="5"/>
        <v>9.7912427042013098E-2</v>
      </c>
    </row>
    <row r="11" spans="1:89" x14ac:dyDescent="0.25">
      <c r="A11" t="s">
        <v>4440</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41"/>
      <c r="AB11" s="52" t="s">
        <v>4471</v>
      </c>
      <c r="AC11" s="377">
        <v>1</v>
      </c>
      <c r="AD11" s="377">
        <v>1</v>
      </c>
      <c r="AE11" s="377">
        <v>1</v>
      </c>
      <c r="AF11" s="377">
        <v>1</v>
      </c>
      <c r="AG11" s="377">
        <v>1</v>
      </c>
      <c r="AH11" s="1044"/>
      <c r="AJ11" s="1044"/>
      <c r="AK11" s="17" t="s">
        <v>107</v>
      </c>
      <c r="AL11" s="1047"/>
      <c r="AM11" s="1050"/>
      <c r="AN11" s="1050"/>
      <c r="AO11" s="1050"/>
      <c r="AP11" s="1050"/>
      <c r="AQ11" s="1050"/>
      <c r="AR11" s="1051"/>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6"/>
      <c r="BH11" s="75" t="s">
        <v>4334</v>
      </c>
      <c r="BL11" s="435">
        <f>'Background Data'!$X$13*BL10</f>
        <v>36.996177205063496</v>
      </c>
      <c r="BM11" s="435">
        <f>'Background Data'!$X$13*BM10</f>
        <v>45.409716345077229</v>
      </c>
      <c r="BN11" s="435">
        <f>'Background Data'!$X$13*BN10</f>
        <v>46.472023140716459</v>
      </c>
      <c r="BO11" s="435">
        <f>'Background Data'!$X$13*BO10</f>
        <v>38.858246784042848</v>
      </c>
      <c r="BP11" s="435">
        <f>'Background Data'!$X$13*BP10</f>
        <v>54.51470803233412</v>
      </c>
      <c r="BQ11" s="435">
        <f>'Background Data'!$X$13*BQ10</f>
        <v>59.680673053215877</v>
      </c>
      <c r="BR11" s="435">
        <f>'Background Data'!$X$13*BR10</f>
        <v>51.316523380862371</v>
      </c>
      <c r="BS11" s="435">
        <f>'Background Data'!$X$13*BS10</f>
        <v>52.77221295400583</v>
      </c>
      <c r="BT11" s="435">
        <f>'Background Data'!$X$13*BT10</f>
        <v>62.319110404538414</v>
      </c>
      <c r="BU11" s="435">
        <f>'Background Data'!$X$13*BU10</f>
        <v>70.090586464969235</v>
      </c>
      <c r="BV11" s="435">
        <f>'Background Data'!$X$13*BV10</f>
        <v>87.234797116288675</v>
      </c>
      <c r="BW11" s="435">
        <f>'Background Data'!$X$13*BW10</f>
        <v>102.08543020801838</v>
      </c>
      <c r="BX11" s="435">
        <f>'Background Data'!$X$13*BX10</f>
        <v>107.22020188090421</v>
      </c>
      <c r="BY11" s="435">
        <f>'Background Data'!$X$13*BY10</f>
        <v>124.17898540802561</v>
      </c>
      <c r="BZ11" s="435">
        <f>'Background Data'!$X$13*BZ10</f>
        <v>97.525136027390957</v>
      </c>
    </row>
    <row r="12" spans="1:89" x14ac:dyDescent="0.25">
      <c r="A12" t="s">
        <v>4441</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41"/>
      <c r="AB12" s="52" t="s">
        <v>4471</v>
      </c>
      <c r="AC12" s="377">
        <v>1</v>
      </c>
      <c r="AD12" s="377">
        <v>1</v>
      </c>
      <c r="AE12" s="377">
        <v>1</v>
      </c>
      <c r="AF12" s="377">
        <v>1</v>
      </c>
      <c r="AG12" s="377">
        <v>1</v>
      </c>
      <c r="AH12" s="1044"/>
      <c r="AJ12" s="1044"/>
      <c r="AK12" s="17" t="s">
        <v>131</v>
      </c>
      <c r="AL12" s="1047"/>
      <c r="AM12" s="1050"/>
      <c r="AN12" s="1050"/>
      <c r="AO12" s="1050"/>
      <c r="AP12" s="1050"/>
      <c r="AQ12" s="1050"/>
      <c r="AR12" s="1051"/>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6"/>
      <c r="BH12" s="75" t="s">
        <v>4360</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4442</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41">
        <f>SUM(J13:Z16)/'Background Data'!X13</f>
        <v>0.90014356415195251</v>
      </c>
      <c r="AB13" s="52" t="s">
        <v>4472</v>
      </c>
      <c r="AC13" s="377">
        <v>1</v>
      </c>
      <c r="AD13" s="377">
        <v>1</v>
      </c>
      <c r="AE13" s="377">
        <v>1</v>
      </c>
      <c r="AF13" s="377">
        <v>1</v>
      </c>
      <c r="AG13" s="377">
        <v>1</v>
      </c>
      <c r="AH13" s="1044"/>
      <c r="AJ13" s="1044"/>
      <c r="AK13" s="17" t="s">
        <v>132</v>
      </c>
      <c r="AL13" s="1047"/>
      <c r="AM13" s="1050"/>
      <c r="AN13" s="1050"/>
      <c r="AO13" s="1050"/>
      <c r="AP13" s="1050"/>
      <c r="AQ13" s="1050"/>
      <c r="AR13" s="1051"/>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4340</v>
      </c>
      <c r="BJ13" s="435">
        <f>'Background Data'!$X$14*BJ12</f>
        <v>9.1603716001519313</v>
      </c>
      <c r="BK13" s="435">
        <f>'Background Data'!$X$14*BK12</f>
        <v>10.96665060509163</v>
      </c>
      <c r="BL13" s="435">
        <f>'Background Data'!$X$14*BL12</f>
        <v>12.957441981503615</v>
      </c>
      <c r="BM13" s="435">
        <f>'Background Data'!$X$14*BM12</f>
        <v>15.904177387747623</v>
      </c>
      <c r="BN13" s="435">
        <f>'Background Data'!$X$14*BN12</f>
        <v>16.276236873644162</v>
      </c>
      <c r="BO13" s="435">
        <f>'Background Data'!$X$14*BO12</f>
        <v>13.609608241855655</v>
      </c>
      <c r="BP13" s="435">
        <f>'Background Data'!$X$14*BP12</f>
        <v>19.093085281549097</v>
      </c>
      <c r="BQ13" s="435">
        <f>'Background Data'!$X$14*BQ12</f>
        <v>20.902399029440627</v>
      </c>
      <c r="BR13" s="435">
        <f>'Background Data'!$X$14*BR12</f>
        <v>17.972961658022136</v>
      </c>
      <c r="BS13" s="435">
        <f>'Background Data'!$X$14*BS12</f>
        <v>18.482798473932551</v>
      </c>
      <c r="BT13" s="435">
        <f>'Background Data'!$X$14*BT12</f>
        <v>21.826478258278204</v>
      </c>
      <c r="BU13" s="435">
        <f>'Background Data'!$X$14*BU12</f>
        <v>24.548339211790303</v>
      </c>
      <c r="BV13" s="435">
        <f>'Background Data'!$X$14*BV12</f>
        <v>30.552881616315958</v>
      </c>
      <c r="BW13" s="435">
        <f>'Background Data'!$X$14*BW12</f>
        <v>35.754127561487515</v>
      </c>
      <c r="BX13" s="435">
        <f>'Background Data'!$X$14*BX12</f>
        <v>37.552516234752417</v>
      </c>
      <c r="BY13" s="435">
        <f>'Background Data'!$X$14*BY12</f>
        <v>43.492115140108432</v>
      </c>
      <c r="BZ13" s="435">
        <f>'Background Data'!$X$14*BZ12</f>
        <v>34.156942345930133</v>
      </c>
    </row>
    <row r="14" spans="1:89" x14ac:dyDescent="0.25">
      <c r="A14" t="s">
        <v>4443</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41"/>
      <c r="AB14" s="52" t="s">
        <v>4472</v>
      </c>
      <c r="AC14" s="377">
        <v>1</v>
      </c>
      <c r="AD14" s="377">
        <v>1</v>
      </c>
      <c r="AE14" s="377">
        <v>1</v>
      </c>
      <c r="AF14" s="377">
        <v>1</v>
      </c>
      <c r="AG14" s="377">
        <v>1</v>
      </c>
      <c r="AH14" s="1044"/>
      <c r="AJ14" s="1044"/>
      <c r="AK14" s="17" t="s">
        <v>133</v>
      </c>
      <c r="AL14" s="1047"/>
      <c r="AM14" s="1050"/>
      <c r="AN14" s="1050"/>
      <c r="AO14" s="1050"/>
      <c r="AP14" s="1050"/>
      <c r="AQ14" s="1050"/>
      <c r="AR14" s="1051"/>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6"/>
      <c r="BH14" s="75" t="s">
        <v>4319</v>
      </c>
      <c r="BI14" s="879">
        <f t="shared" ref="BI14:CA14" si="8">BI9/SUM($BI$9:$CA$9)</f>
        <v>1.8981447563442909E-2</v>
      </c>
      <c r="BJ14" s="879">
        <f t="shared" si="8"/>
        <v>2.1263870651420456E-2</v>
      </c>
      <c r="BK14" s="879">
        <f t="shared" si="8"/>
        <v>2.5456766398223654E-2</v>
      </c>
      <c r="BL14" s="879">
        <f t="shared" si="8"/>
        <v>3.0077968699807826E-2</v>
      </c>
      <c r="BM14" s="879">
        <f t="shared" si="8"/>
        <v>3.6918193448036832E-2</v>
      </c>
      <c r="BN14" s="879">
        <f t="shared" si="8"/>
        <v>3.7781851073302411E-2</v>
      </c>
      <c r="BO14" s="879">
        <f t="shared" si="8"/>
        <v>3.1591835124518859E-2</v>
      </c>
      <c r="BP14" s="879">
        <f t="shared" si="8"/>
        <v>4.4320570549415871E-2</v>
      </c>
      <c r="BQ14" s="879">
        <f t="shared" si="8"/>
        <v>4.8520510811922699E-2</v>
      </c>
      <c r="BR14" s="879">
        <f t="shared" si="8"/>
        <v>4.1720439803204411E-2</v>
      </c>
      <c r="BS14" s="879">
        <f t="shared" si="8"/>
        <v>4.2903918441414987E-2</v>
      </c>
      <c r="BT14" s="879">
        <f t="shared" si="8"/>
        <v>5.0665565843679379E-2</v>
      </c>
      <c r="BU14" s="879">
        <f t="shared" si="8"/>
        <v>5.6983791978269076E-2</v>
      </c>
      <c r="BV14" s="879">
        <f t="shared" si="8"/>
        <v>7.0922070749480121E-2</v>
      </c>
      <c r="BW14" s="879">
        <f t="shared" si="8"/>
        <v>8.2995666213939126E-2</v>
      </c>
      <c r="BX14" s="879">
        <f t="shared" si="8"/>
        <v>8.7170246219912872E-2</v>
      </c>
      <c r="BY14" s="879">
        <f t="shared" si="8"/>
        <v>0.10095777235506613</v>
      </c>
      <c r="BZ14" s="879">
        <f t="shared" si="8"/>
        <v>7.9288137599116335E-2</v>
      </c>
      <c r="CA14" s="879">
        <f t="shared" si="8"/>
        <v>9.1479376475826046E-2</v>
      </c>
    </row>
    <row r="15" spans="1:89" x14ac:dyDescent="0.25">
      <c r="A15" t="s">
        <v>4444</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41"/>
      <c r="AB15" s="52" t="s">
        <v>4472</v>
      </c>
      <c r="AC15" s="377">
        <v>1</v>
      </c>
      <c r="AD15" s="377">
        <v>1</v>
      </c>
      <c r="AE15" s="377">
        <v>1</v>
      </c>
      <c r="AF15" s="377">
        <v>1</v>
      </c>
      <c r="AG15" s="377">
        <v>1</v>
      </c>
      <c r="AH15" s="1044"/>
      <c r="AJ15" s="1044"/>
      <c r="AK15" s="28" t="s">
        <v>140</v>
      </c>
      <c r="AL15" s="1047"/>
      <c r="AM15" s="1050"/>
      <c r="AN15" s="1050"/>
      <c r="AO15" s="1050"/>
      <c r="AP15" s="1050"/>
      <c r="AQ15" s="1050"/>
      <c r="AR15" s="1051"/>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6"/>
      <c r="BH15" s="75" t="s">
        <v>4335</v>
      </c>
      <c r="BI15" s="435">
        <f>'Background Data'!$X$15*BI14</f>
        <v>2.8111144212507684</v>
      </c>
      <c r="BJ15" s="435">
        <f>'Background Data'!$X$15*BJ14</f>
        <v>3.1491367157340671</v>
      </c>
      <c r="BK15" s="435">
        <f>'Background Data'!$X$15*BK14</f>
        <v>3.7700961900441272</v>
      </c>
      <c r="BL15" s="435">
        <f>'Background Data'!$X$15*BL14</f>
        <v>4.4544870085041399</v>
      </c>
      <c r="BM15" s="435">
        <f>'Background Data'!$X$15*BM14</f>
        <v>5.4675106132673594</v>
      </c>
      <c r="BN15" s="435">
        <f>'Background Data'!$X$15*BN14</f>
        <v>5.5954165802539411</v>
      </c>
      <c r="BO15" s="435">
        <f>'Background Data'!$X$15*BO14</f>
        <v>4.6786875982709946</v>
      </c>
      <c r="BP15" s="435">
        <f>'Background Data'!$X$15*BP14</f>
        <v>6.5637878572273918</v>
      </c>
      <c r="BQ15" s="435">
        <f>'Background Data'!$X$15*BQ14</f>
        <v>7.185790610224128</v>
      </c>
      <c r="BR15" s="435">
        <f>'Background Data'!$X$15*BR14</f>
        <v>6.1787136939749674</v>
      </c>
      <c r="BS15" s="435">
        <f>'Background Data'!$X$15*BS14</f>
        <v>6.3539845133366777</v>
      </c>
      <c r="BT15" s="435">
        <f>'Background Data'!$X$15*BT14</f>
        <v>7.503468970317229</v>
      </c>
      <c r="BU15" s="435">
        <f>'Background Data'!$X$15*BU14</f>
        <v>8.4391856243976946</v>
      </c>
      <c r="BV15" s="435">
        <f>'Background Data'!$X$15*BV14</f>
        <v>10.503416833856507</v>
      </c>
      <c r="BW15" s="435">
        <f>'Background Data'!$X$15*BW14</f>
        <v>12.291492174951959</v>
      </c>
      <c r="BX15" s="435">
        <f>'Background Data'!$X$15*BX14</f>
        <v>12.909739124676658</v>
      </c>
      <c r="BY15" s="435">
        <f>'Background Data'!$X$15*BY14</f>
        <v>14.951644170240586</v>
      </c>
      <c r="BZ15" s="435">
        <f>'Background Data'!$X$15*BZ14</f>
        <v>11.742414602153932</v>
      </c>
    </row>
    <row r="16" spans="1:89" x14ac:dyDescent="0.25">
      <c r="A16" t="s">
        <v>4445</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41"/>
      <c r="AB16" s="52" t="s">
        <v>4472</v>
      </c>
      <c r="AC16" s="377">
        <v>1</v>
      </c>
      <c r="AD16" s="377">
        <v>1</v>
      </c>
      <c r="AE16" s="377">
        <v>1</v>
      </c>
      <c r="AF16" s="377">
        <v>1</v>
      </c>
      <c r="AG16" s="377">
        <v>1</v>
      </c>
      <c r="AH16" s="1044"/>
      <c r="AJ16" s="1044"/>
      <c r="AK16" s="17" t="s">
        <v>108</v>
      </c>
      <c r="AL16" s="1047"/>
      <c r="AM16" s="1050"/>
      <c r="AN16" s="1050"/>
      <c r="AO16" s="1050"/>
      <c r="AP16" s="1050"/>
      <c r="AQ16" s="1050"/>
      <c r="AR16" s="1051"/>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6"/>
      <c r="BH16" s="28" t="s">
        <v>4320</v>
      </c>
      <c r="BK16" s="880">
        <v>9068</v>
      </c>
      <c r="BL16" s="880">
        <v>10820</v>
      </c>
      <c r="BM16" s="880">
        <v>11655</v>
      </c>
      <c r="BN16" s="880">
        <v>12072</v>
      </c>
      <c r="BO16" s="880">
        <v>11711</v>
      </c>
      <c r="BP16" s="880">
        <v>6270</v>
      </c>
      <c r="BQ16" s="880">
        <v>6679</v>
      </c>
      <c r="BR16" s="880">
        <v>7536</v>
      </c>
      <c r="BS16" s="880">
        <v>8190</v>
      </c>
      <c r="BT16" s="880">
        <v>8307</v>
      </c>
      <c r="BU16" s="880">
        <v>8226</v>
      </c>
      <c r="BV16" s="880">
        <v>8041</v>
      </c>
      <c r="BW16" s="880">
        <v>8278</v>
      </c>
      <c r="BX16" s="880">
        <v>8807</v>
      </c>
      <c r="BY16" s="880">
        <v>8442</v>
      </c>
      <c r="BZ16" s="880">
        <v>6964</v>
      </c>
      <c r="CA16" s="12">
        <v>6758</v>
      </c>
    </row>
    <row r="17" spans="1:82" x14ac:dyDescent="0.25">
      <c r="A17" t="s">
        <v>4446</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41">
        <f>SUM(J17:Z18)/'Background Data'!X14</f>
        <v>0.90673703454525789</v>
      </c>
      <c r="AB17" s="52" t="s">
        <v>4474</v>
      </c>
      <c r="AC17" s="377">
        <v>1</v>
      </c>
      <c r="AD17" s="377">
        <v>1</v>
      </c>
      <c r="AE17" s="377">
        <v>1</v>
      </c>
      <c r="AF17" s="377">
        <v>1</v>
      </c>
      <c r="AG17" s="377">
        <v>1</v>
      </c>
      <c r="AH17" s="1044"/>
      <c r="AJ17" s="1044"/>
      <c r="AK17" s="17" t="s">
        <v>107</v>
      </c>
      <c r="AL17" s="1047"/>
      <c r="AM17" s="1050"/>
      <c r="AN17" s="1050"/>
      <c r="AO17" s="1050"/>
      <c r="AP17" s="1050"/>
      <c r="AQ17" s="1050"/>
      <c r="AR17" s="1051"/>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6"/>
      <c r="BH17" s="75" t="s">
        <v>4323</v>
      </c>
      <c r="BK17" s="879">
        <f t="shared" ref="BK17:CA17" si="12">BK16/SUM($BK$16:$CA$16)</f>
        <v>6.1343218963091244E-2</v>
      </c>
      <c r="BL17" s="879">
        <f t="shared" si="12"/>
        <v>7.3195150990366928E-2</v>
      </c>
      <c r="BM17" s="879">
        <f t="shared" si="12"/>
        <v>7.8843760147202083E-2</v>
      </c>
      <c r="BN17" s="879">
        <f t="shared" si="12"/>
        <v>8.1664682324926935E-2</v>
      </c>
      <c r="BO17" s="879">
        <f t="shared" si="12"/>
        <v>7.9222589024786239E-2</v>
      </c>
      <c r="BP17" s="879">
        <f t="shared" si="12"/>
        <v>4.2415304686654401E-2</v>
      </c>
      <c r="BQ17" s="879">
        <f t="shared" si="12"/>
        <v>4.5182108453295809E-2</v>
      </c>
      <c r="BR17" s="879">
        <f t="shared" si="12"/>
        <v>5.0979543240610457E-2</v>
      </c>
      <c r="BS17" s="879">
        <f t="shared" si="12"/>
        <v>5.5403723346682539E-2</v>
      </c>
      <c r="BT17" s="879">
        <f t="shared" si="12"/>
        <v>5.6195205108778006E-2</v>
      </c>
      <c r="BU17" s="879">
        <f t="shared" si="12"/>
        <v>5.5647256196558068E-2</v>
      </c>
      <c r="BV17" s="879">
        <f t="shared" si="12"/>
        <v>5.4395767940253276E-2</v>
      </c>
      <c r="BW17" s="879">
        <f t="shared" si="12"/>
        <v>5.5999025868600498E-2</v>
      </c>
      <c r="BX17" s="879">
        <f t="shared" si="12"/>
        <v>5.9577605801493669E-2</v>
      </c>
      <c r="BY17" s="879">
        <f t="shared" si="12"/>
        <v>5.7108453295811233E-2</v>
      </c>
      <c r="BZ17" s="879">
        <f t="shared" si="12"/>
        <v>4.7110076848143737E-2</v>
      </c>
      <c r="CA17" s="879">
        <f t="shared" si="12"/>
        <v>4.5716527762744888E-2</v>
      </c>
    </row>
    <row r="18" spans="1:82" x14ac:dyDescent="0.25">
      <c r="A18" t="s">
        <v>4447</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41"/>
      <c r="AB18" s="52" t="s">
        <v>4474</v>
      </c>
      <c r="AC18" s="377">
        <v>1</v>
      </c>
      <c r="AD18" s="377">
        <v>1</v>
      </c>
      <c r="AE18" s="377">
        <v>1</v>
      </c>
      <c r="AF18" s="377">
        <v>1</v>
      </c>
      <c r="AG18" s="377">
        <v>1</v>
      </c>
      <c r="AH18" s="1044"/>
      <c r="AJ18" s="1044"/>
      <c r="AK18" s="17" t="s">
        <v>131</v>
      </c>
      <c r="AL18" s="1047"/>
      <c r="AM18" s="1050"/>
      <c r="AN18" s="1050"/>
      <c r="AO18" s="1050"/>
      <c r="AP18" s="1050"/>
      <c r="AQ18" s="1050"/>
      <c r="AR18" s="1051"/>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6"/>
      <c r="BH18" s="75" t="s">
        <v>4336</v>
      </c>
      <c r="BK18" s="435">
        <f>'Background Data'!$X$16*BK17</f>
        <v>14.967500054118412</v>
      </c>
      <c r="BL18" s="435">
        <f>'Background Data'!$X$16*BL17</f>
        <v>17.859324061045569</v>
      </c>
      <c r="BM18" s="435">
        <f>'Background Data'!$X$16*BM17</f>
        <v>19.237562100876719</v>
      </c>
      <c r="BN18" s="435">
        <f>'Background Data'!$X$16*BN17</f>
        <v>19.925855828552873</v>
      </c>
      <c r="BO18" s="435">
        <f>'Background Data'!$X$16*BO17</f>
        <v>19.329994831691742</v>
      </c>
      <c r="BP18" s="435">
        <f>'Background Data'!$X$16*BP17</f>
        <v>10.349164682324927</v>
      </c>
      <c r="BQ18" s="435">
        <f>'Background Data'!$X$16*BQ17</f>
        <v>11.024253734170365</v>
      </c>
      <c r="BR18" s="435">
        <f>'Background Data'!$X$16*BR17</f>
        <v>12.438804632535989</v>
      </c>
      <c r="BS18" s="435">
        <f>'Background Data'!$X$16*BS17</f>
        <v>13.518286881697152</v>
      </c>
      <c r="BT18" s="435">
        <f>'Background Data'!$X$16*BT17</f>
        <v>13.7114052657214</v>
      </c>
      <c r="BU18" s="435">
        <f>'Background Data'!$X$16*BU17</f>
        <v>13.577707922935383</v>
      </c>
      <c r="BV18" s="435">
        <f>'Background Data'!$X$16*BV17</f>
        <v>13.272349794350038</v>
      </c>
      <c r="BW18" s="435">
        <f>'Background Data'!$X$16*BW17</f>
        <v>13.663538315835048</v>
      </c>
      <c r="BX18" s="435">
        <f>'Background Data'!$X$16*BX17</f>
        <v>14.53669750514125</v>
      </c>
      <c r="BY18" s="435">
        <f>'Background Data'!$X$16*BY17</f>
        <v>13.934234170364759</v>
      </c>
      <c r="BZ18" s="435">
        <f>'Background Data'!$X$16*BZ17</f>
        <v>11.49467031063968</v>
      </c>
      <c r="CA18" s="12"/>
    </row>
    <row r="19" spans="1:82" x14ac:dyDescent="0.25">
      <c r="A19" t="s">
        <v>4448</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4473</v>
      </c>
      <c r="AC19" s="377">
        <v>1</v>
      </c>
      <c r="AD19" s="377">
        <v>1</v>
      </c>
      <c r="AE19" s="377">
        <v>1</v>
      </c>
      <c r="AF19" s="377">
        <v>1</v>
      </c>
      <c r="AG19" s="377">
        <v>1</v>
      </c>
      <c r="AH19" s="1044"/>
      <c r="AJ19" s="1044"/>
      <c r="AK19" s="17" t="s">
        <v>132</v>
      </c>
      <c r="AL19" s="1047"/>
      <c r="AM19" s="1050"/>
      <c r="AN19" s="1050"/>
      <c r="AO19" s="1050"/>
      <c r="AP19" s="1050"/>
      <c r="AQ19" s="1050"/>
      <c r="AR19" s="1051"/>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4321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4449</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4475</v>
      </c>
      <c r="AC20" s="377">
        <v>1</v>
      </c>
      <c r="AD20" s="377">
        <v>1</v>
      </c>
      <c r="AE20" s="377">
        <v>1</v>
      </c>
      <c r="AF20" s="377">
        <v>1</v>
      </c>
      <c r="AG20" s="377">
        <v>1</v>
      </c>
      <c r="AH20" s="1044"/>
      <c r="AJ20" s="1044"/>
      <c r="AK20" s="17" t="s">
        <v>133</v>
      </c>
      <c r="AL20" s="1047"/>
      <c r="AM20" s="1050"/>
      <c r="AN20" s="1050"/>
      <c r="AO20" s="1050"/>
      <c r="AP20" s="1050"/>
      <c r="AQ20" s="1050"/>
      <c r="AR20" s="1051"/>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6"/>
      <c r="BH20" s="75" t="s">
        <v>4322</v>
      </c>
      <c r="BM20" s="80"/>
      <c r="BN20" s="80"/>
      <c r="BO20" s="879">
        <f t="shared" ref="BO20:CA20" si="15">BO19/SUM($BO$19:$CA$19)</f>
        <v>4.6203384753631872E-2</v>
      </c>
      <c r="BP20" s="879">
        <f t="shared" si="15"/>
        <v>6.7170885128051513E-2</v>
      </c>
      <c r="BQ20" s="879">
        <f t="shared" si="15"/>
        <v>6.3389246667665114E-2</v>
      </c>
      <c r="BR20" s="879">
        <f t="shared" si="15"/>
        <v>7.8253706754530472E-2</v>
      </c>
      <c r="BS20" s="879">
        <f t="shared" si="15"/>
        <v>8.8063501572562528E-2</v>
      </c>
      <c r="BT20" s="879">
        <f t="shared" si="15"/>
        <v>7.3798112924966297E-2</v>
      </c>
      <c r="BU20" s="879">
        <f t="shared" si="15"/>
        <v>6.7994608357046571E-2</v>
      </c>
      <c r="BV20" s="879">
        <f t="shared" si="15"/>
        <v>8.7127452448704512E-2</v>
      </c>
      <c r="BW20" s="879">
        <f t="shared" si="15"/>
        <v>0.10491238580200689</v>
      </c>
      <c r="BX20" s="879">
        <f t="shared" si="15"/>
        <v>9.3604912385802014E-2</v>
      </c>
      <c r="BY20" s="879">
        <f t="shared" si="15"/>
        <v>0.1121386850381908</v>
      </c>
      <c r="BZ20" s="879">
        <f t="shared" si="15"/>
        <v>6.8518795866407065E-2</v>
      </c>
      <c r="CA20" s="879">
        <f t="shared" si="15"/>
        <v>4.8824322300434327E-2</v>
      </c>
    </row>
    <row r="21" spans="1:82" x14ac:dyDescent="0.25">
      <c r="A21" t="s">
        <v>4450</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41">
        <f>SUM(J21:Z23)/'Background Data'!X17</f>
        <v>0.94981087524262953</v>
      </c>
      <c r="AB21" s="52" t="s">
        <v>4476</v>
      </c>
      <c r="AC21" s="377">
        <v>2</v>
      </c>
      <c r="AD21" s="377">
        <v>1</v>
      </c>
      <c r="AE21" s="377">
        <v>1</v>
      </c>
      <c r="AF21" s="377">
        <v>2</v>
      </c>
      <c r="AG21" s="377">
        <v>1</v>
      </c>
      <c r="AH21" s="1044"/>
      <c r="AJ21" s="1044"/>
      <c r="AK21" s="28" t="s">
        <v>141</v>
      </c>
      <c r="AL21" s="1047"/>
      <c r="AM21" s="1050"/>
      <c r="AN21" s="1050"/>
      <c r="AO21" s="1050"/>
      <c r="AP21" s="1050"/>
      <c r="AQ21" s="1050"/>
      <c r="AR21" s="1051"/>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6"/>
      <c r="BH21" s="75" t="s">
        <v>4337</v>
      </c>
      <c r="BN21" s="80"/>
      <c r="BO21" s="435">
        <f>'Background Data'!$X17*BO$20</f>
        <v>0.58336393589935598</v>
      </c>
      <c r="BP21" s="435">
        <f>'Background Data'!$X17*BP$20</f>
        <v>0.84809959562677839</v>
      </c>
      <c r="BQ21" s="435">
        <f>'Background Data'!$X17*BQ$20</f>
        <v>0.80035262842593968</v>
      </c>
      <c r="BR21" s="435">
        <f>'Background Data'!$X17*BR$20</f>
        <v>0.98803130148270168</v>
      </c>
      <c r="BS21" s="435">
        <f>'Background Data'!$X17*BS$20</f>
        <v>1.1118897708551745</v>
      </c>
      <c r="BT21" s="435">
        <f>'Background Data'!$X17*BT$20</f>
        <v>0.93177497379062446</v>
      </c>
      <c r="BU21" s="435">
        <f>'Background Data'!$X17*BU$20</f>
        <v>0.85849992511606998</v>
      </c>
      <c r="BV21" s="435">
        <f>'Background Data'!$X17*BV$20</f>
        <v>1.100071214617343</v>
      </c>
      <c r="BW21" s="435">
        <f>'Background Data'!$X17*BW$20</f>
        <v>1.3246237831361389</v>
      </c>
      <c r="BX21" s="435">
        <f>'Background Data'!$X17*BX$20</f>
        <v>1.1818556237831361</v>
      </c>
      <c r="BY21" s="435">
        <f>'Background Data'!$X17*BY$20</f>
        <v>1.415863037292197</v>
      </c>
      <c r="BZ21" s="435">
        <f>'Background Data'!$X17*BZ$20</f>
        <v>0.86511831660925553</v>
      </c>
      <c r="CA21" s="80"/>
    </row>
    <row r="22" spans="1:82" x14ac:dyDescent="0.25">
      <c r="A22" t="s">
        <v>4451</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41"/>
      <c r="AB22" s="52" t="s">
        <v>4476</v>
      </c>
      <c r="AC22" s="377">
        <v>2</v>
      </c>
      <c r="AD22" s="377">
        <v>1</v>
      </c>
      <c r="AE22" s="377">
        <v>1</v>
      </c>
      <c r="AF22" s="377">
        <v>2</v>
      </c>
      <c r="AG22" s="377">
        <v>1</v>
      </c>
      <c r="AH22" s="1044"/>
      <c r="AJ22" s="1044"/>
      <c r="AK22" s="17" t="s">
        <v>108</v>
      </c>
      <c r="AL22" s="1047"/>
      <c r="AM22" s="1050"/>
      <c r="AN22" s="1050"/>
      <c r="AO22" s="1050"/>
      <c r="AP22" s="1050"/>
      <c r="AQ22" s="1050"/>
      <c r="AR22" s="1051"/>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6"/>
      <c r="BH22" s="75" t="s">
        <v>4338</v>
      </c>
      <c r="BO22" s="435">
        <f>'Background Data'!$X18*BO$20</f>
        <v>0.30508094952823123</v>
      </c>
      <c r="BP22" s="435">
        <f>'Background Data'!$X18*BP$20</f>
        <v>0.44352935450052411</v>
      </c>
      <c r="BQ22" s="435">
        <f>'Background Data'!$X18*BQ$20</f>
        <v>0.41855919574659273</v>
      </c>
      <c r="BR22" s="435">
        <f>'Background Data'!$X18*BR$20</f>
        <v>0.51670922570016464</v>
      </c>
      <c r="BS22" s="435">
        <f>'Background Data'!$X18*BS$20</f>
        <v>0.58148330088363032</v>
      </c>
      <c r="BT22" s="435">
        <f>'Background Data'!$X18*BT$20</f>
        <v>0.48728893964355247</v>
      </c>
      <c r="BU22" s="435">
        <f>'Background Data'!$X18*BU$20</f>
        <v>0.44896839898157848</v>
      </c>
      <c r="BV22" s="435">
        <f>'Background Data'!$X18*BV$20</f>
        <v>0.57530256851879591</v>
      </c>
      <c r="BW22" s="435">
        <f>'Background Data'!$X18*BW$20</f>
        <v>0.69273648345065142</v>
      </c>
      <c r="BX22" s="435">
        <f>'Background Data'!$X18*BX$20</f>
        <v>0.61807323648345069</v>
      </c>
      <c r="BY22" s="435">
        <f>'Background Data'!$X18*BY$20</f>
        <v>0.74045173730717384</v>
      </c>
      <c r="BZ22" s="435">
        <f>'Background Data'!$X18*BZ$20</f>
        <v>0.45242960910588581</v>
      </c>
    </row>
    <row r="23" spans="1:82" x14ac:dyDescent="0.25">
      <c r="A23" t="s">
        <v>4452</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41"/>
      <c r="AB23" s="52" t="s">
        <v>4476</v>
      </c>
      <c r="AC23" s="377">
        <v>2</v>
      </c>
      <c r="AD23" s="377">
        <v>1</v>
      </c>
      <c r="AE23" s="377">
        <v>1</v>
      </c>
      <c r="AF23" s="377">
        <v>2</v>
      </c>
      <c r="AG23" s="377">
        <v>1</v>
      </c>
      <c r="AH23" s="1044"/>
      <c r="AJ23" s="1044"/>
      <c r="AK23" s="17" t="s">
        <v>107</v>
      </c>
      <c r="AL23" s="1047"/>
      <c r="AM23" s="1050"/>
      <c r="AN23" s="1050"/>
      <c r="AO23" s="1050"/>
      <c r="AP23" s="1050"/>
      <c r="AQ23" s="1050"/>
      <c r="AR23" s="1051"/>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6"/>
      <c r="BH23" s="75" t="s">
        <v>4339</v>
      </c>
      <c r="BO23" s="435">
        <f>'Background Data'!$X19*BO$20</f>
        <v>4.7497079526733564E-2</v>
      </c>
      <c r="BP23" s="435">
        <f>'Background Data'!$X19*BP$20</f>
        <v>6.9051669911636956E-2</v>
      </c>
      <c r="BQ23" s="435">
        <f>'Background Data'!$X19*BQ$20</f>
        <v>6.5164145574359733E-2</v>
      </c>
      <c r="BR23" s="435">
        <f>'Background Data'!$X19*BR$20</f>
        <v>8.0444810543657333E-2</v>
      </c>
      <c r="BS23" s="435">
        <f>'Background Data'!$X19*BS$20</f>
        <v>9.052927961659428E-2</v>
      </c>
      <c r="BT23" s="435">
        <f>'Background Data'!$X19*BT$20</f>
        <v>7.5864460086865357E-2</v>
      </c>
      <c r="BU23" s="435">
        <f>'Background Data'!$X19*BU$20</f>
        <v>6.9898457391043875E-2</v>
      </c>
      <c r="BV23" s="435">
        <f>'Background Data'!$X19*BV$20</f>
        <v>8.9567021117268247E-2</v>
      </c>
      <c r="BW23" s="435">
        <f>'Background Data'!$X19*BW$20</f>
        <v>0.10784993260446309</v>
      </c>
      <c r="BX23" s="435">
        <f>'Background Data'!$X19*BX$20</f>
        <v>9.6225849932604468E-2</v>
      </c>
      <c r="BY23" s="435">
        <f>'Background Data'!$X19*BY$20</f>
        <v>0.11527856821926015</v>
      </c>
      <c r="BZ23" s="435">
        <f>'Background Data'!$X19*BZ$20</f>
        <v>7.0437322150666462E-2</v>
      </c>
    </row>
    <row r="24" spans="1:82" x14ac:dyDescent="0.25">
      <c r="A24" t="s">
        <v>4453</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41">
        <f>SUM(J24:Z27)/'Background Data'!X18</f>
        <v>0.95009868816769982</v>
      </c>
      <c r="AB24" s="52" t="s">
        <v>4477</v>
      </c>
      <c r="AC24" s="377">
        <v>2</v>
      </c>
      <c r="AD24" s="377">
        <v>1</v>
      </c>
      <c r="AE24" s="377">
        <v>1</v>
      </c>
      <c r="AF24" s="377">
        <v>2</v>
      </c>
      <c r="AG24" s="377">
        <v>1</v>
      </c>
      <c r="AH24" s="1044"/>
      <c r="AJ24" s="1044"/>
      <c r="AK24" s="17" t="s">
        <v>131</v>
      </c>
      <c r="AL24" s="1047"/>
      <c r="AM24" s="1050"/>
      <c r="AN24" s="1050"/>
      <c r="AO24" s="1050"/>
      <c r="AP24" s="1050"/>
      <c r="AQ24" s="1050"/>
      <c r="AR24" s="1051"/>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6"/>
    </row>
    <row r="25" spans="1:82" ht="14.45" customHeight="1" thickBot="1" x14ac:dyDescent="0.3">
      <c r="A25" t="s">
        <v>4454</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41"/>
      <c r="AB25" s="52" t="s">
        <v>4477</v>
      </c>
      <c r="AC25" s="377">
        <v>2</v>
      </c>
      <c r="AD25" s="377">
        <v>1</v>
      </c>
      <c r="AE25" s="377">
        <v>1</v>
      </c>
      <c r="AF25" s="377">
        <v>2</v>
      </c>
      <c r="AG25" s="377">
        <v>1</v>
      </c>
      <c r="AH25" s="1044"/>
      <c r="AJ25" s="1044"/>
      <c r="AK25" s="17" t="s">
        <v>132</v>
      </c>
      <c r="AL25" s="1047"/>
      <c r="AM25" s="1050"/>
      <c r="AN25" s="1050"/>
      <c r="AO25" s="1050"/>
      <c r="AP25" s="1050"/>
      <c r="AQ25" s="1050"/>
      <c r="AR25" s="1051"/>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37" t="s">
        <v>4388</v>
      </c>
      <c r="BI25" s="1037"/>
      <c r="BJ25" s="1037"/>
      <c r="BK25" s="1037"/>
      <c r="BL25" s="1037"/>
      <c r="BM25" s="1037"/>
      <c r="BN25" s="1037"/>
      <c r="BO25" s="1037"/>
      <c r="BP25" s="1037"/>
      <c r="BQ25" s="1037"/>
      <c r="BR25" s="1037"/>
      <c r="BS25" s="1037"/>
      <c r="BT25" s="1037"/>
      <c r="BU25" s="1037"/>
      <c r="BV25" s="1037"/>
      <c r="BW25" s="1037"/>
      <c r="BX25" s="1037"/>
      <c r="BY25" s="1037"/>
      <c r="BZ25" s="1037"/>
      <c r="CA25" s="1037"/>
      <c r="CB25" s="1037"/>
      <c r="CC25" s="1037"/>
    </row>
    <row r="26" spans="1:82" ht="15.75" thickBot="1" x14ac:dyDescent="0.3">
      <c r="A26" t="s">
        <v>4455</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41"/>
      <c r="AB26" s="52" t="s">
        <v>4477</v>
      </c>
      <c r="AC26" s="377">
        <v>2</v>
      </c>
      <c r="AD26" s="377">
        <v>1</v>
      </c>
      <c r="AE26" s="377">
        <v>1</v>
      </c>
      <c r="AF26" s="377">
        <v>2</v>
      </c>
      <c r="AG26" s="377">
        <v>1</v>
      </c>
      <c r="AH26" s="1044"/>
      <c r="AJ26" s="1044"/>
      <c r="AK26" s="31" t="s">
        <v>133</v>
      </c>
      <c r="AL26" s="1055"/>
      <c r="AM26" s="1052"/>
      <c r="AN26" s="1052"/>
      <c r="AO26" s="1052"/>
      <c r="AP26" s="1052"/>
      <c r="AQ26" s="1052"/>
      <c r="AR26" s="1053"/>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6"/>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4386</v>
      </c>
    </row>
    <row r="27" spans="1:82" ht="44.1" customHeight="1" thickTop="1" x14ac:dyDescent="0.25">
      <c r="A27" t="s">
        <v>4456</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41"/>
      <c r="AB27" s="52" t="s">
        <v>4477</v>
      </c>
      <c r="AC27" s="377">
        <v>2</v>
      </c>
      <c r="AD27" s="377">
        <v>1</v>
      </c>
      <c r="AE27" s="377">
        <v>1</v>
      </c>
      <c r="AF27" s="377">
        <v>2</v>
      </c>
      <c r="AG27" s="377">
        <v>1</v>
      </c>
      <c r="AH27" s="1044"/>
      <c r="AJ27" s="1044"/>
      <c r="AK27" s="28" t="s">
        <v>28</v>
      </c>
      <c r="AL27" s="1054"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6"/>
      <c r="BH27" s="28" t="s">
        <v>952</v>
      </c>
      <c r="CD27" s="806"/>
    </row>
    <row r="28" spans="1:82" ht="14.45" customHeight="1" x14ac:dyDescent="0.25">
      <c r="A28" t="s">
        <v>4457</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41">
        <f>SUM(J28:Z29)/'Background Data'!X19</f>
        <v>0.9511756776995659</v>
      </c>
      <c r="AB28" s="52" t="s">
        <v>4478</v>
      </c>
      <c r="AC28" s="377">
        <v>2</v>
      </c>
      <c r="AD28" s="377">
        <v>1</v>
      </c>
      <c r="AE28" s="377">
        <v>1</v>
      </c>
      <c r="AF28" s="377">
        <v>2</v>
      </c>
      <c r="AG28" s="377">
        <v>1</v>
      </c>
      <c r="AH28" s="1044"/>
      <c r="AJ28" s="1044"/>
      <c r="AK28" s="48" t="s">
        <v>108</v>
      </c>
      <c r="AL28" s="1047"/>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4385</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6">
        <f>'Background Data'!V86/'Background Data'!V133</f>
        <v>70.589403383593449</v>
      </c>
      <c r="CC28" s="73">
        <f>'Background Data'!W86/'Background Data'!W133</f>
        <v>20.470675893222744</v>
      </c>
      <c r="CD28" s="806"/>
    </row>
    <row r="29" spans="1:82" x14ac:dyDescent="0.25">
      <c r="A29" s="202" t="s">
        <v>4458</v>
      </c>
      <c r="B29" s="202" t="s">
        <v>95</v>
      </c>
      <c r="C29" s="202" t="s">
        <v>161</v>
      </c>
      <c r="D29" s="202">
        <v>2023</v>
      </c>
      <c r="E29" s="203" t="s">
        <v>944</v>
      </c>
      <c r="F29" s="202"/>
      <c r="G29" s="202"/>
      <c r="H29" s="202"/>
      <c r="I29" s="202"/>
      <c r="J29" s="876"/>
      <c r="K29" s="876"/>
      <c r="L29" s="876"/>
      <c r="M29" s="876"/>
      <c r="N29" s="876"/>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48"/>
      <c r="AB29" s="52" t="s">
        <v>4478</v>
      </c>
      <c r="AC29" s="377">
        <v>2</v>
      </c>
      <c r="AD29" s="377">
        <v>1</v>
      </c>
      <c r="AE29" s="377">
        <v>1</v>
      </c>
      <c r="AF29" s="377">
        <v>2</v>
      </c>
      <c r="AG29" s="377">
        <v>1</v>
      </c>
      <c r="AH29" s="1044"/>
      <c r="AJ29" s="1044"/>
      <c r="AK29" s="48" t="s">
        <v>107</v>
      </c>
      <c r="AL29" s="1047"/>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6"/>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6"/>
    </row>
    <row r="30" spans="1:82" ht="43.5" customHeight="1" x14ac:dyDescent="0.25">
      <c r="A30" t="s">
        <v>4459</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1">
        <f>IF(CC30&lt;0, 0, CC30)</f>
        <v>0</v>
      </c>
      <c r="AA30" s="241">
        <f>SUM(F30:Z30)/('Background Data'!V86/'Background Data'!V133)</f>
        <v>0.9618539289700867</v>
      </c>
      <c r="AB30" s="52" t="s">
        <v>4482</v>
      </c>
      <c r="AC30" s="377">
        <v>2</v>
      </c>
      <c r="AD30" s="377">
        <v>1</v>
      </c>
      <c r="AE30" s="377">
        <v>1</v>
      </c>
      <c r="AF30" s="377">
        <v>2</v>
      </c>
      <c r="AG30" s="377">
        <v>1</v>
      </c>
      <c r="AH30" s="1044"/>
      <c r="AJ30" s="1044"/>
      <c r="AK30" s="28" t="s">
        <v>194</v>
      </c>
      <c r="AL30" s="1047"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6"/>
      <c r="BH30" s="75" t="s">
        <v>4387</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23">
        <f>SUMIF(BJ30:CC30, "&gt;0", BJ30:CC30)/CB28</f>
        <v>1.2710639727391764</v>
      </c>
    </row>
    <row r="31" spans="1:82" x14ac:dyDescent="0.25">
      <c r="A31" t="s">
        <v>4460</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4479</v>
      </c>
      <c r="AC31" s="377">
        <v>2</v>
      </c>
      <c r="AD31" s="377">
        <v>1</v>
      </c>
      <c r="AE31" s="377">
        <v>1</v>
      </c>
      <c r="AF31" s="377">
        <v>2</v>
      </c>
      <c r="AG31" s="377">
        <v>1</v>
      </c>
      <c r="AH31" s="1044"/>
      <c r="AJ31" s="1044"/>
      <c r="AK31" s="48" t="s">
        <v>108</v>
      </c>
      <c r="AL31" s="1047"/>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0">
        <f>('Background Data'!AL74+'Background Data'!AL81+'Background Data'!AL88)/(BA$9+BA$15+BA$21)</f>
        <v>0.95515239207008895</v>
      </c>
      <c r="BB31" s="861">
        <f>('Background Data'!AM74+'Background Data'!AM81+'Background Data'!AM88)/(BB$9+BB$15+BB$21)</f>
        <v>0.92807603984360065</v>
      </c>
      <c r="BC31" s="861">
        <f>('Background Data'!AN74+'Background Data'!AN81+'Background Data'!AN88)/(BC$9+BC$15+BC$21)</f>
        <v>0.88741744447633053</v>
      </c>
      <c r="BD31" s="861">
        <f>('Background Data'!AO74+'Background Data'!AO81+'Background Data'!AO88)/(BD$9+BD$15+BD$21)</f>
        <v>0.84081245097634483</v>
      </c>
      <c r="BE31" s="865">
        <f>('Background Data'!AP74+'Background Data'!AP81+'Background Data'!AP88)/(BE$9+BE$15+BE$21)</f>
        <v>0.8002086566010157</v>
      </c>
      <c r="BF31" s="991">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6"/>
    </row>
    <row r="32" spans="1:82" x14ac:dyDescent="0.25">
      <c r="A32" t="s">
        <v>4487</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4480</v>
      </c>
      <c r="AC32" s="377">
        <v>2</v>
      </c>
      <c r="AD32" s="377">
        <v>1</v>
      </c>
      <c r="AE32" s="377">
        <v>1</v>
      </c>
      <c r="AF32" s="377">
        <v>2</v>
      </c>
      <c r="AG32" s="377">
        <v>1</v>
      </c>
      <c r="AH32" s="1044"/>
      <c r="AJ32" s="1044"/>
      <c r="AK32" s="48" t="s">
        <v>107</v>
      </c>
      <c r="AL32" s="1047"/>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3">
        <f>('Background Data'!AL75+'Background Data'!AL82+'Background Data'!AL89)/(BA$9+BA$15+BA$21)</f>
        <v>2.8936618656401587E-2</v>
      </c>
      <c r="BB32" s="862">
        <f>('Background Data'!AM75+'Background Data'!AM82+'Background Data'!AM89)/(BB$9+BB$15+BB$21)</f>
        <v>3.7345496794905467E-2</v>
      </c>
      <c r="BC32" s="862">
        <f>('Background Data'!AN75+'Background Data'!AN82+'Background Data'!AN89)/(BC$9+BC$15+BC$21)</f>
        <v>3.6514074826259631E-2</v>
      </c>
      <c r="BD32" s="862">
        <f>('Background Data'!AO75+'Background Data'!AO82+'Background Data'!AO89)/(BD$9+BD$15+BD$21)</f>
        <v>4.7079222226809228E-2</v>
      </c>
      <c r="BE32" s="866">
        <f>('Background Data'!AP75+'Background Data'!AP82+'Background Data'!AP89)/(BE$9+BE$15+BE$21)</f>
        <v>3.9399379679106623E-2</v>
      </c>
      <c r="BF32" s="806"/>
      <c r="BH32" s="75" t="s">
        <v>4385</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6">
        <f>'Background Data'!V87/'Background Data'!V134</f>
        <v>0.95699625858523341</v>
      </c>
      <c r="CC32" s="73">
        <f>'Background Data'!W87/'Background Data'!W134</f>
        <v>0.77473367456660225</v>
      </c>
      <c r="CD32" s="806"/>
    </row>
    <row r="33" spans="1:82" x14ac:dyDescent="0.25">
      <c r="A33" t="s">
        <v>4488</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4480</v>
      </c>
      <c r="AC33" s="377">
        <v>2</v>
      </c>
      <c r="AD33" s="377">
        <v>1</v>
      </c>
      <c r="AE33" s="377">
        <v>1</v>
      </c>
      <c r="AF33" s="377">
        <v>2</v>
      </c>
      <c r="AG33" s="377">
        <v>1</v>
      </c>
      <c r="AH33" s="1044"/>
      <c r="AJ33" s="1044"/>
      <c r="AK33" s="48" t="s">
        <v>131</v>
      </c>
      <c r="AL33" s="1047"/>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6"/>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6"/>
    </row>
    <row r="34" spans="1:82" x14ac:dyDescent="0.25">
      <c r="A34" t="s">
        <v>4461</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41">
        <f>SUM(F34:Z35)/('Background Data'!V90/'Background Data'!V137)</f>
        <v>1.0390271612067861</v>
      </c>
      <c r="AB34" s="52" t="s">
        <v>4481</v>
      </c>
      <c r="AC34" s="377">
        <v>2</v>
      </c>
      <c r="AD34" s="377">
        <v>1</v>
      </c>
      <c r="AE34" s="377">
        <v>1</v>
      </c>
      <c r="AF34" s="377">
        <v>2</v>
      </c>
      <c r="AG34" s="377">
        <v>1</v>
      </c>
      <c r="AH34" s="1044"/>
      <c r="AJ34" s="1044"/>
      <c r="AK34" s="48" t="s">
        <v>132</v>
      </c>
      <c r="AL34" s="1047"/>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91">
        <f>BE34/BA34 - 1</f>
        <v>7.0303894129298499</v>
      </c>
      <c r="BG34" s="30"/>
      <c r="BH34" s="75" t="s">
        <v>4387</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23">
        <f>SUMIF(BJ34:CC34, "&gt;0", BJ34:CC34)/CB32</f>
        <v>1.3737558145000728</v>
      </c>
    </row>
    <row r="35" spans="1:82" x14ac:dyDescent="0.25">
      <c r="A35" t="s">
        <v>4462</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41"/>
      <c r="AB35" s="52" t="s">
        <v>4481</v>
      </c>
      <c r="AC35" s="377">
        <v>2</v>
      </c>
      <c r="AD35" s="377">
        <v>1</v>
      </c>
      <c r="AE35" s="377">
        <v>1</v>
      </c>
      <c r="AF35" s="377">
        <v>2</v>
      </c>
      <c r="AG35" s="377">
        <v>1</v>
      </c>
      <c r="AH35" s="1044"/>
      <c r="AJ35" s="1044"/>
      <c r="AK35" s="48" t="s">
        <v>133</v>
      </c>
      <c r="AL35" s="1047"/>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6"/>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6"/>
    </row>
    <row r="36" spans="1:82" x14ac:dyDescent="0.25">
      <c r="A36" t="s">
        <v>4768</v>
      </c>
      <c r="B36" t="s">
        <v>95</v>
      </c>
      <c r="E36" s="52" t="s">
        <v>2915</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4483</v>
      </c>
      <c r="AH36" s="1044"/>
      <c r="AJ36" s="1044"/>
      <c r="AK36" s="28" t="s">
        <v>195</v>
      </c>
      <c r="AL36" s="1047"/>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6"/>
      <c r="BH36" s="75" t="s">
        <v>4385</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6">
        <f>'Background Data'!V88/'Background Data'!V135</f>
        <v>0.34979699335600883</v>
      </c>
      <c r="CC36" s="73">
        <f>'Background Data'!W88/'Background Data'!W135</f>
        <v>4.9202172217006387E-2</v>
      </c>
      <c r="CD36" s="806"/>
    </row>
    <row r="37" spans="1:82" x14ac:dyDescent="0.25">
      <c r="A37" t="s">
        <v>4769</v>
      </c>
      <c r="B37" t="s">
        <v>95</v>
      </c>
      <c r="E37" s="52" t="s">
        <v>2915</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4776</v>
      </c>
      <c r="AH37" s="1044"/>
      <c r="AJ37" s="1044"/>
      <c r="AK37" s="48" t="s">
        <v>108</v>
      </c>
      <c r="AL37" s="1047"/>
      <c r="AM37" s="990">
        <v>0.95</v>
      </c>
      <c r="AN37" s="990">
        <v>0.95</v>
      </c>
      <c r="AO37" s="990">
        <v>0.95</v>
      </c>
      <c r="AP37" s="990">
        <v>0.95</v>
      </c>
      <c r="AQ37" s="990">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0">
        <f>('Background Data'!AL74+'Background Data'!AL88)/(BA$9+BA$21)</f>
        <v>0.91773396478945746</v>
      </c>
      <c r="BB37" s="861">
        <f>('Background Data'!AM74+'Background Data'!AM88)/(BB$9+BB$21)</f>
        <v>0.89400093256110724</v>
      </c>
      <c r="BC37" s="861">
        <f>('Background Data'!AN74+'Background Data'!AN88)/(BC$9+BC$21)</f>
        <v>0.82998018960399778</v>
      </c>
      <c r="BD37" s="861">
        <f>('Background Data'!AO74+'Background Data'!AO88)/(BD$9+BD$21)</f>
        <v>0.78705918558619048</v>
      </c>
      <c r="BE37" s="865">
        <f>('Background Data'!AP74+'Background Data'!AP88)/(BE$9+BE$21)</f>
        <v>0.80608887161549425</v>
      </c>
      <c r="BF37" s="991">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6"/>
    </row>
    <row r="38" spans="1:82" ht="15.75" thickBot="1" x14ac:dyDescent="0.3">
      <c r="A38" t="s">
        <v>1821</v>
      </c>
      <c r="B38" t="s">
        <v>95</v>
      </c>
      <c r="E38" s="52" t="s">
        <v>2915</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4483</v>
      </c>
      <c r="AH38" s="1044"/>
      <c r="AJ38" s="1044"/>
      <c r="AK38" s="48" t="s">
        <v>107</v>
      </c>
      <c r="AL38" s="1047"/>
      <c r="AM38" s="990">
        <v>0.04</v>
      </c>
      <c r="AN38" s="990">
        <v>0.04</v>
      </c>
      <c r="AO38" s="990">
        <v>0.04</v>
      </c>
      <c r="AP38" s="990">
        <v>0.04</v>
      </c>
      <c r="AQ38" s="990">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3">
        <f>('Background Data'!AL75+'Background Data'!AL89)/(BA$9+BA$21)</f>
        <v>8.1792443117471428E-2</v>
      </c>
      <c r="BB38" s="862">
        <f>('Background Data'!AM75+'Background Data'!AM89)/(BB$9+BB$21)</f>
        <v>0.10510945322469814</v>
      </c>
      <c r="BC38" s="862">
        <f>('Background Data'!AN75+'Background Data'!AN89)/(BC$9+BC$21)</f>
        <v>0.11766278456022977</v>
      </c>
      <c r="BD38" s="862">
        <f>('Background Data'!AO75+'Background Data'!AO89)/(BD$9+BD$21)</f>
        <v>0.15058681998125534</v>
      </c>
      <c r="BE38" s="866">
        <f>('Background Data'!AP75+'Background Data'!AP89)/(BE$9+BE$21)</f>
        <v>0.13281513149371679</v>
      </c>
      <c r="BF38" s="867"/>
      <c r="BH38" s="75" t="s">
        <v>4387</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23">
        <f>SUMIF(BJ38:CC38, "&gt;0", BJ38:CC38)/CB36</f>
        <v>0.97616903627787499</v>
      </c>
    </row>
    <row r="39" spans="1:82" x14ac:dyDescent="0.25">
      <c r="Z39"/>
      <c r="AH39" s="1044"/>
      <c r="AJ39" s="1044"/>
      <c r="AK39" s="17" t="s">
        <v>131</v>
      </c>
      <c r="AL39" s="1047"/>
      <c r="AM39" s="832">
        <v>0</v>
      </c>
      <c r="AN39" s="832">
        <v>0</v>
      </c>
      <c r="AO39" s="832">
        <v>0</v>
      </c>
      <c r="AP39" s="832">
        <v>0</v>
      </c>
      <c r="AQ39" s="832">
        <v>0</v>
      </c>
      <c r="AR39" s="833">
        <v>0</v>
      </c>
      <c r="AS39" s="832">
        <f>('Background Data'!AD76+'Background Data'!AD90)/(AS$9+AS$21)</f>
        <v>1.1331530360947013E-4</v>
      </c>
      <c r="AT39" s="832">
        <f>('Background Data'!AE76+'Background Data'!AE90)/(AT$9+AT$21)</f>
        <v>9.3025615871861442E-5</v>
      </c>
      <c r="AU39" s="832">
        <f>('Background Data'!AF76+'Background Data'!AF90)/(AU$9+AU$21)</f>
        <v>0</v>
      </c>
      <c r="AV39" s="832">
        <f>('Background Data'!AG76+'Background Data'!AG90)/(AV$9+AV$21)</f>
        <v>0</v>
      </c>
      <c r="AW39" s="832">
        <f>('Background Data'!AH76+'Background Data'!AH90)/(AW$9+AW$21)</f>
        <v>0</v>
      </c>
      <c r="AX39" s="832">
        <f>('Background Data'!AI76+'Background Data'!AI90)/(AX$9+AX$21)</f>
        <v>0</v>
      </c>
      <c r="AY39" s="832">
        <f>('Background Data'!AJ76+'Background Data'!AJ90)/(AY$9+AY$21)</f>
        <v>0</v>
      </c>
      <c r="AZ39" s="832">
        <f>('Background Data'!AK76+'Background Data'!AK90)/(AZ$9+AZ$21)</f>
        <v>0</v>
      </c>
      <c r="BA39" s="832">
        <f>('Background Data'!AL76+'Background Data'!AL90)/(BA$9+BA$21)</f>
        <v>0</v>
      </c>
      <c r="BB39" s="832">
        <f>('Background Data'!AM76+'Background Data'!AM90)/(BB$9+BB$21)</f>
        <v>0</v>
      </c>
      <c r="BC39" s="832">
        <f>('Background Data'!AN76+'Background Data'!AN90)/(BC$9+BC$21)</f>
        <v>0</v>
      </c>
      <c r="BD39" s="832">
        <f>('Background Data'!AO76+'Background Data'!AO90)/(BD$9+BD$21)</f>
        <v>7.3369983353616742E-3</v>
      </c>
      <c r="BE39" s="832">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6"/>
    </row>
    <row r="40" spans="1:82" x14ac:dyDescent="0.25">
      <c r="Y40" s="59"/>
      <c r="Z40"/>
      <c r="AH40" s="1044"/>
      <c r="AJ40" s="1044"/>
      <c r="AK40" s="48" t="s">
        <v>132</v>
      </c>
      <c r="AL40" s="1047"/>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2"/>
      <c r="BH40" s="75" t="s">
        <v>4385</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6">
        <f>'Background Data'!V89/'Background Data'!V136</f>
        <v>91.284586078447077</v>
      </c>
      <c r="CC40" s="73">
        <f>'Background Data'!W89/'Background Data'!W136</f>
        <v>87.834899059631326</v>
      </c>
      <c r="CD40" s="806"/>
    </row>
    <row r="41" spans="1:82" x14ac:dyDescent="0.25">
      <c r="Z41"/>
      <c r="AH41" s="1044"/>
      <c r="AJ41" s="1044"/>
      <c r="AK41" s="48" t="s">
        <v>133</v>
      </c>
      <c r="AL41" s="1047"/>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6"/>
    </row>
    <row r="42" spans="1:82" ht="15" customHeight="1" x14ac:dyDescent="0.25">
      <c r="Z42"/>
      <c r="AH42" s="1044"/>
      <c r="AJ42" s="1044"/>
      <c r="BH42" s="75" t="s">
        <v>4387</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23">
        <f>SUMIF(BJ42:CC42, "&gt;0", BJ42:CC42)/CB40</f>
        <v>1.0036883650412696</v>
      </c>
    </row>
    <row r="43" spans="1:82" ht="15.75" x14ac:dyDescent="0.25">
      <c r="Z43"/>
      <c r="AH43" s="1044"/>
      <c r="AJ43" s="1044"/>
      <c r="AK43" s="1037" t="s">
        <v>649</v>
      </c>
      <c r="AL43" s="1037"/>
      <c r="AM43" s="1037"/>
      <c r="AN43" s="1037"/>
      <c r="AO43" s="1037"/>
      <c r="AP43" s="1037"/>
      <c r="AQ43" s="1037"/>
      <c r="AR43" s="1037"/>
      <c r="AS43" s="1037"/>
      <c r="AT43" s="1037"/>
      <c r="AU43" s="1037"/>
      <c r="AV43" s="1037"/>
      <c r="AW43" s="1037"/>
      <c r="AX43" s="1037"/>
      <c r="AY43" s="1037"/>
      <c r="AZ43" s="1037"/>
      <c r="BA43" s="1037"/>
      <c r="BB43" s="1037"/>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6"/>
    </row>
    <row r="44" spans="1:82" ht="15.75" thickBot="1" x14ac:dyDescent="0.3">
      <c r="AH44" s="1044"/>
      <c r="AJ44" s="1044"/>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4385</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6">
        <f>'Background Data'!V91/('Background Data'!V137*HFO_MDO)</f>
        <v>1.2022540457962503</v>
      </c>
      <c r="CC44" s="73">
        <f>'Background Data'!W91/('Background Data'!W137*HFO_MDO)</f>
        <v>2.0204019888036582</v>
      </c>
      <c r="CD44" s="806"/>
    </row>
    <row r="45" spans="1:82" ht="15.75" thickTop="1" x14ac:dyDescent="0.25">
      <c r="AH45" s="1044"/>
      <c r="AJ45" s="1044"/>
      <c r="AK45" s="28" t="s">
        <v>47</v>
      </c>
      <c r="AL45" s="1046" t="s">
        <v>4261</v>
      </c>
      <c r="AM45" s="1046" t="s">
        <v>276</v>
      </c>
      <c r="AN45" s="1046"/>
      <c r="AO45" s="1046"/>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6"/>
    </row>
    <row r="46" spans="1:82" x14ac:dyDescent="0.25">
      <c r="AH46" s="1044"/>
      <c r="AJ46" s="1044"/>
      <c r="AK46" s="48" t="s">
        <v>108</v>
      </c>
      <c r="AL46" s="1047"/>
      <c r="AM46" s="1047"/>
      <c r="AN46" s="1047"/>
      <c r="AO46" s="1047"/>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4">
        <f>Efficiency!$DK$5*'Background Data'!X70</f>
        <v>1.7148851758403295E-2</v>
      </c>
      <c r="BH46" s="75" t="s">
        <v>4387</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23">
        <f>SUMIF(BJ46:CC46, "&gt;0", BJ46:CC46)/CB44</f>
        <v>10.085253370141196</v>
      </c>
    </row>
    <row r="47" spans="1:82" x14ac:dyDescent="0.25">
      <c r="AH47" s="1044"/>
      <c r="AJ47" s="1044"/>
      <c r="AK47" s="48" t="s">
        <v>107</v>
      </c>
      <c r="AL47" s="1047"/>
      <c r="AM47" s="1047"/>
      <c r="AN47" s="1047"/>
      <c r="AO47" s="1047"/>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4">
        <f>Efficiency!$DK$6*'Background Data'!X71</f>
        <v>0.11642216941610121</v>
      </c>
      <c r="BH47" s="28" t="s">
        <v>956</v>
      </c>
      <c r="CD47" s="806"/>
    </row>
    <row r="48" spans="1:82" x14ac:dyDescent="0.25">
      <c r="AH48" s="1044"/>
      <c r="AJ48" s="1044"/>
      <c r="AK48" s="48" t="s">
        <v>241</v>
      </c>
      <c r="AL48" s="1047"/>
      <c r="AM48" s="1047"/>
      <c r="AN48" s="1047"/>
      <c r="AO48" s="1047"/>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4">
        <f>Efficiency!$DK$8*'Background Data'!X69</f>
        <v>3.1700092573941671E-2</v>
      </c>
      <c r="BH48" s="75" t="s">
        <v>4385</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6">
        <f>'Background Data'!V92/'Background Data'!V137</f>
        <v>45.868229053744031</v>
      </c>
      <c r="CC48" s="73">
        <f>'Background Data'!W92/'Background Data'!W137</f>
        <v>36.734147891199072</v>
      </c>
      <c r="CD48" s="806"/>
    </row>
    <row r="49" spans="34:82" x14ac:dyDescent="0.25">
      <c r="AH49" s="1044"/>
      <c r="AJ49" s="1044"/>
      <c r="AK49" s="28" t="s">
        <v>269</v>
      </c>
      <c r="AL49" s="1047"/>
      <c r="AM49" s="1047"/>
      <c r="AN49" s="1047"/>
      <c r="AO49" s="1047"/>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6"/>
    </row>
    <row r="50" spans="34:82" ht="15.75" thickBot="1" x14ac:dyDescent="0.3">
      <c r="AH50" s="1044"/>
      <c r="AJ50" s="1044"/>
      <c r="AK50" s="48" t="s">
        <v>108</v>
      </c>
      <c r="AL50" s="1047"/>
      <c r="AM50" s="1047"/>
      <c r="AN50" s="1047"/>
      <c r="AO50" s="1047"/>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4">
        <f>Efficiency!$DK$15*'Background Data'!X76</f>
        <v>9.4648020801979902E-3</v>
      </c>
      <c r="BH50" s="75" t="s">
        <v>4387</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4">
        <f>SUMIF(BJ50:CC50, "&gt;0", BJ50:CC50)/CB48</f>
        <v>1.2283593767490359</v>
      </c>
    </row>
    <row r="51" spans="34:82" x14ac:dyDescent="0.25">
      <c r="AK51" s="48" t="s">
        <v>107</v>
      </c>
      <c r="AL51" s="1047"/>
      <c r="AM51" s="1047"/>
      <c r="AN51" s="1047"/>
      <c r="AO51" s="1047"/>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4">
        <f>Efficiency!$DK$16*'Background Data'!X77</f>
        <v>0.37112097501296498</v>
      </c>
    </row>
    <row r="52" spans="34:82" x14ac:dyDescent="0.25">
      <c r="AK52" s="48" t="s">
        <v>241</v>
      </c>
      <c r="AL52" s="1047"/>
      <c r="AM52" s="1047"/>
      <c r="AN52" s="1047"/>
      <c r="AO52" s="1047"/>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4">
        <f>Efficiency!$DK$18*'Background Data'!X75</f>
        <v>1.0221770339431623E-2</v>
      </c>
    </row>
    <row r="53" spans="34:82" x14ac:dyDescent="0.25">
      <c r="AK53" s="48" t="s">
        <v>53</v>
      </c>
      <c r="AL53" s="1047"/>
      <c r="AM53" s="1047"/>
      <c r="AN53" s="1047"/>
      <c r="AO53" s="1047"/>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4">
        <f>Efficiency!$DK$22*'Background Data'!X74</f>
        <v>0.32315454788160625</v>
      </c>
    </row>
    <row r="54" spans="34:82" x14ac:dyDescent="0.25">
      <c r="AK54" s="28" t="s">
        <v>287</v>
      </c>
      <c r="AL54" s="1047"/>
      <c r="AM54" s="1047"/>
      <c r="AN54" s="1047"/>
      <c r="AO54" s="1047"/>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47"/>
      <c r="AM55" s="1047"/>
      <c r="AN55" s="1047"/>
      <c r="AO55" s="1047"/>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4">
        <f>'Background Data'!X81*Efficiency!$DK$25</f>
        <v>3.967030100976307E-3</v>
      </c>
    </row>
    <row r="56" spans="34:82" x14ac:dyDescent="0.25">
      <c r="AK56" s="48" t="s">
        <v>107</v>
      </c>
      <c r="AL56" s="1047"/>
      <c r="AM56" s="1047"/>
      <c r="AN56" s="1047"/>
      <c r="AO56" s="1047"/>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4">
        <f>'Background Data'!X82*Efficiency!$DK$26</f>
        <v>1.9570339166708046E-2</v>
      </c>
    </row>
    <row r="57" spans="34:82" ht="15.75" thickBot="1" x14ac:dyDescent="0.3"/>
    <row r="58" spans="34:82" x14ac:dyDescent="0.25">
      <c r="AK58" s="836" t="s">
        <v>4258</v>
      </c>
      <c r="AL58" s="838"/>
      <c r="AM58" s="837"/>
      <c r="AO58" s="294" t="s">
        <v>4265</v>
      </c>
      <c r="AP58" s="70"/>
      <c r="AQ58" s="295"/>
      <c r="AS58" s="294" t="s">
        <v>4268</v>
      </c>
      <c r="AT58" s="70"/>
      <c r="AU58" s="70"/>
      <c r="AV58" s="295"/>
      <c r="AZ58" s="294" t="s">
        <v>4270</v>
      </c>
      <c r="BA58" s="70"/>
      <c r="BB58" s="295"/>
      <c r="BD58" s="294" t="s">
        <v>4273</v>
      </c>
      <c r="BE58" s="70"/>
      <c r="BF58" s="70"/>
      <c r="BG58" s="295"/>
    </row>
    <row r="59" spans="34:82" ht="15.75" thickBot="1" x14ac:dyDescent="0.3">
      <c r="AK59" s="232" t="s">
        <v>4249</v>
      </c>
      <c r="AL59" s="88">
        <v>2021</v>
      </c>
      <c r="AM59" s="378" t="s">
        <v>4255</v>
      </c>
      <c r="AO59" s="232" t="s">
        <v>4249</v>
      </c>
      <c r="AP59" s="88" t="s">
        <v>4257</v>
      </c>
      <c r="AQ59" s="378" t="s">
        <v>4264</v>
      </c>
      <c r="AS59" s="232" t="s">
        <v>4249</v>
      </c>
      <c r="AT59" s="88" t="s">
        <v>4269</v>
      </c>
      <c r="AU59" s="299" t="s">
        <v>4266</v>
      </c>
      <c r="AV59" s="378" t="s">
        <v>4267</v>
      </c>
      <c r="AY59" s="28"/>
      <c r="AZ59" s="232" t="s">
        <v>4249</v>
      </c>
      <c r="BA59" s="88" t="s">
        <v>4271</v>
      </c>
      <c r="BB59" s="378" t="s">
        <v>4272</v>
      </c>
      <c r="BD59" s="232" t="s">
        <v>4249</v>
      </c>
      <c r="BE59" s="88" t="s">
        <v>4269</v>
      </c>
      <c r="BF59" s="299" t="s">
        <v>4266</v>
      </c>
      <c r="BG59" s="378" t="s">
        <v>4267</v>
      </c>
    </row>
    <row r="60" spans="34:82" ht="15.75" thickTop="1" x14ac:dyDescent="0.25">
      <c r="AK60" s="379" t="s">
        <v>17</v>
      </c>
      <c r="AM60" s="63"/>
      <c r="AO60" s="64" t="s">
        <v>17</v>
      </c>
      <c r="AP60" s="289">
        <f>MAX('Background Data'!C5:X5)</f>
        <v>368.36900000000003</v>
      </c>
      <c r="AQ60" s="848">
        <f>AVERAGE('Background Data'!R5:V5)</f>
        <v>259.63039999999995</v>
      </c>
      <c r="AR60" s="80">
        <f>AQ60*0.001</f>
        <v>0.25963039999999998</v>
      </c>
      <c r="AS60" s="64" t="s">
        <v>17</v>
      </c>
      <c r="AT60" s="114" cm="1">
        <f t="array" ref="AT60">AVERAGE('Background Data'!N5:V5/'Background Data'!M5:U5)</f>
        <v>0.98656874763938085</v>
      </c>
      <c r="AU60" s="752">
        <f>(('Background Data'!V5*AT60)/'Background Data'!C5)^(1/4)</f>
        <v>0.88264625467309177</v>
      </c>
      <c r="AV60" s="398">
        <f>('Background Data'!V5/'Background Data'!G5)^(1/4)</f>
        <v>0.92705370263624731</v>
      </c>
      <c r="AY60" s="752"/>
      <c r="AZ60" s="64" t="s">
        <v>17</v>
      </c>
      <c r="BA60" s="289">
        <f>MAX('Background Data'!C11:X11)</f>
        <v>4689.1239999999998</v>
      </c>
      <c r="BB60" s="848">
        <f>AVERAGE('Background Data'!R11:W11)</f>
        <v>4527.7964999999995</v>
      </c>
      <c r="BC60" s="301">
        <f>BB60*0.001</f>
        <v>4.5277965</v>
      </c>
      <c r="BD60" s="64" t="s">
        <v>17</v>
      </c>
      <c r="BE60" s="114" cm="1">
        <f t="array" ref="BE60">AVERAGE('Background Data'!N11:V11/'Background Data'!M11:U11)</f>
        <v>1.0083267349501124</v>
      </c>
      <c r="BF60" s="752">
        <f>(('Background Data'!V11*BE60)/'Background Data'!C11)^(1/4)</f>
        <v>1.0311340518792274</v>
      </c>
      <c r="BG60" s="398">
        <f>('Background Data'!V11/'Background Data'!G11)^(1/4)</f>
        <v>1.0197584720244441</v>
      </c>
    </row>
    <row r="61" spans="34:82" x14ac:dyDescent="0.25">
      <c r="AK61" s="381" t="s">
        <v>108</v>
      </c>
      <c r="AL61" s="80">
        <f>'Background Data'!$X$5*BE4</f>
        <v>128.85703869322188</v>
      </c>
      <c r="AM61" s="423">
        <f>ROUND(AL61, 1)</f>
        <v>128.9</v>
      </c>
      <c r="AO61" s="64" t="s">
        <v>194</v>
      </c>
      <c r="AP61" s="289">
        <f>MAX('Background Data'!C6:X6)</f>
        <v>413.91899999999998</v>
      </c>
      <c r="AQ61" s="848">
        <f>AVERAGE('Background Data'!R6:V6)</f>
        <v>384.20079999999996</v>
      </c>
      <c r="AR61" s="80">
        <f t="shared" ref="AR61:AR64" si="38">AQ61*0.001</f>
        <v>0.38420079999999995</v>
      </c>
      <c r="AS61" s="64" t="s">
        <v>194</v>
      </c>
      <c r="AT61" s="114" cm="1">
        <f t="array" ref="AT61">AVERAGE('Background Data'!N6:V6/'Background Data'!M6:U6)</f>
        <v>1.0682485347400517</v>
      </c>
      <c r="AU61" s="854">
        <f>(('Background Data'!V6*AT61)/'Background Data'!C6)^(1/4)</f>
        <v>1.2085376537476755</v>
      </c>
      <c r="AV61" s="856">
        <f>('Background Data'!V6/'Background Data'!G6)^(1/4)</f>
        <v>1.1999695159714447</v>
      </c>
      <c r="AY61" s="752"/>
      <c r="AZ61" s="64" t="s">
        <v>194</v>
      </c>
      <c r="BA61" s="289">
        <f>MAX('Background Data'!C12:X12)</f>
        <v>4177.3249999999998</v>
      </c>
      <c r="BB61" s="848">
        <f>AVERAGE('Background Data'!R12:W12)</f>
        <v>3730.6113333333337</v>
      </c>
      <c r="BC61" s="301">
        <f t="shared" ref="BC61:BC64" si="39">BB61*0.001</f>
        <v>3.7306113333333339</v>
      </c>
      <c r="BD61" s="64" t="s">
        <v>194</v>
      </c>
      <c r="BE61" s="114" cm="1">
        <f t="array" ref="BE61">AVERAGE('Background Data'!N12:V12/'Background Data'!M12:U12)</f>
        <v>1.0585643581279791</v>
      </c>
      <c r="BF61" s="752">
        <f>(('Background Data'!V12*BE61)/'Background Data'!C12)^(1/4)</f>
        <v>1.2729968042080206</v>
      </c>
      <c r="BG61" s="398">
        <f>('Background Data'!V12/'Background Data'!G12)^(1/4)</f>
        <v>1.1990306390388221</v>
      </c>
    </row>
    <row r="62" spans="34:82" x14ac:dyDescent="0.25">
      <c r="AK62" s="381" t="s">
        <v>107</v>
      </c>
      <c r="AL62" s="80">
        <f>'Background Data'!$X$5*BE5</f>
        <v>0</v>
      </c>
      <c r="AM62" s="423">
        <f t="shared" ref="AM62:AM81" si="40">ROUND(AL62, 1)</f>
        <v>0</v>
      </c>
      <c r="AO62" s="64" t="s">
        <v>195</v>
      </c>
      <c r="AP62" s="289">
        <f>MAX('Background Data'!C7:X7)</f>
        <v>115.151</v>
      </c>
      <c r="AQ62" s="848">
        <f>AVERAGE('Background Data'!R7:V7)</f>
        <v>107.10940000000001</v>
      </c>
      <c r="AR62" s="80">
        <f t="shared" si="38"/>
        <v>0.10710940000000001</v>
      </c>
      <c r="AS62" s="64" t="s">
        <v>195</v>
      </c>
      <c r="AT62" s="114" cm="1">
        <f t="array" ref="AT62">AVERAGE('Background Data'!N7:V7/'Background Data'!M7:U7)</f>
        <v>1.0680685382359225</v>
      </c>
      <c r="AU62" s="854">
        <f>(('Background Data'!V7*AT62)/'Background Data'!C7)^(1/4)</f>
        <v>1.2027669372278813</v>
      </c>
      <c r="AV62" s="856">
        <f>('Background Data'!V7/'Background Data'!G7)^(1/4)</f>
        <v>1.1991636986110046</v>
      </c>
      <c r="AY62" s="752"/>
      <c r="AZ62" s="64" t="s">
        <v>195</v>
      </c>
      <c r="BA62" s="289">
        <f>MAX('Background Data'!C13:X13)</f>
        <v>1161.2929999999999</v>
      </c>
      <c r="BB62" s="848">
        <f>AVERAGE('Background Data'!R13:W13)</f>
        <v>1039.4624999999999</v>
      </c>
      <c r="BC62" s="301">
        <f t="shared" si="39"/>
        <v>1.0394625</v>
      </c>
      <c r="BD62" s="64" t="s">
        <v>195</v>
      </c>
      <c r="BE62" s="114" cm="1">
        <f t="array" ref="BE62">AVERAGE('Background Data'!N13:V13/'Background Data'!M13:U13)</f>
        <v>1.0583621355018407</v>
      </c>
      <c r="BF62" s="752">
        <f>(('Background Data'!V13*BE62)/'Background Data'!C13)^(1/4)</f>
        <v>1.2669067932188689</v>
      </c>
      <c r="BG62" s="398">
        <f>('Background Data'!V13/'Background Data'!G13)^(1/4)</f>
        <v>1.1982254878950256</v>
      </c>
    </row>
    <row r="63" spans="34:82" x14ac:dyDescent="0.25">
      <c r="AK63" s="381" t="s">
        <v>131</v>
      </c>
      <c r="AL63" s="80">
        <f>'Background Data'!$X$5*BE6</f>
        <v>14.716722852336245</v>
      </c>
      <c r="AM63" s="423">
        <f t="shared" si="40"/>
        <v>14.7</v>
      </c>
      <c r="AO63" s="64" t="s">
        <v>28</v>
      </c>
      <c r="AP63" s="289">
        <f>MAX('Background Data'!C8:X8)</f>
        <v>46.911999999999999</v>
      </c>
      <c r="AQ63" s="848">
        <f>AVERAGE('Background Data'!R8:V8)</f>
        <v>40.601599999999998</v>
      </c>
      <c r="AR63" s="80">
        <f t="shared" si="38"/>
        <v>4.0601600000000002E-2</v>
      </c>
      <c r="AS63" s="64" t="s">
        <v>28</v>
      </c>
      <c r="AT63" s="114" cm="1">
        <f t="array" ref="AT63">AVERAGE('Background Data'!N8:V8/'Background Data'!M8:U8)</f>
        <v>1.0612786300199297</v>
      </c>
      <c r="AU63" s="854">
        <f>(('Background Data'!V8*AT63)/'Background Data'!C8)^(1/4)</f>
        <v>1.1827206001153154</v>
      </c>
      <c r="AV63" s="856">
        <f>('Background Data'!V8/'Background Data'!G8)^(1/4)</f>
        <v>1.1879325695691261</v>
      </c>
      <c r="AY63" s="752"/>
      <c r="AZ63" s="64" t="s">
        <v>28</v>
      </c>
      <c r="BA63" s="289">
        <f>MAX('Background Data'!C14:X14)</f>
        <v>422.61799999999999</v>
      </c>
      <c r="BB63" s="848">
        <f>AVERAGE('Background Data'!R14:W14)</f>
        <v>390.9375</v>
      </c>
      <c r="BC63" s="301">
        <f t="shared" si="39"/>
        <v>0.39093749999999999</v>
      </c>
      <c r="BD63" s="64" t="s">
        <v>28</v>
      </c>
      <c r="BE63" s="114" cm="1">
        <f t="array" ref="BE63">AVERAGE('Background Data'!N14:V14/'Background Data'!M14:U14)</f>
        <v>1.0293658414483988</v>
      </c>
      <c r="BF63" s="752">
        <f>(('Background Data'!V14*BE63)/'Background Data'!C14)^(1/4)</f>
        <v>1.1983414303887756</v>
      </c>
      <c r="BG63" s="398">
        <f>('Background Data'!V14/'Background Data'!G14)^(1/4)</f>
        <v>1.1520928873027838</v>
      </c>
    </row>
    <row r="64" spans="34:82" ht="15.75" thickBot="1" x14ac:dyDescent="0.3">
      <c r="AK64" s="381" t="s">
        <v>132</v>
      </c>
      <c r="AL64" s="80">
        <f>'Background Data'!$X$5*BE7</f>
        <v>15.175309419149436</v>
      </c>
      <c r="AM64" s="423">
        <f t="shared" si="40"/>
        <v>15.2</v>
      </c>
      <c r="AO64" s="67" t="s">
        <v>29</v>
      </c>
      <c r="AP64" s="851">
        <f>MAX('Background Data'!C9:X9)</f>
        <v>14.052</v>
      </c>
      <c r="AQ64" s="849">
        <f>AVERAGE('Background Data'!R9:V9)</f>
        <v>11.939</v>
      </c>
      <c r="AR64" s="80">
        <f t="shared" si="38"/>
        <v>1.1939E-2</v>
      </c>
      <c r="AS64" s="67" t="s">
        <v>29</v>
      </c>
      <c r="AT64" s="852" cm="1">
        <f t="array" ref="AT64">AVERAGE('Background Data'!N9:V9/'Background Data'!M9:U9)</f>
        <v>1.0942954149801651</v>
      </c>
      <c r="AU64" s="855">
        <f>(('Background Data'!V9*AT64)/'Background Data'!C9)^(1/4)</f>
        <v>1.0625145789048893</v>
      </c>
      <c r="AV64" s="857">
        <f>('Background Data'!V9/'Background Data'!G9)^(1/4)</f>
        <v>1.0481034326147007</v>
      </c>
      <c r="AY64" s="752"/>
      <c r="AZ64" s="67" t="s">
        <v>29</v>
      </c>
      <c r="BA64" s="851">
        <f>MAX('Background Data'!C15:X15)</f>
        <v>148.09800000000001</v>
      </c>
      <c r="BB64" s="849">
        <f>AVERAGE('Background Data'!R15:W15)</f>
        <v>128.21733333333333</v>
      </c>
      <c r="BC64" s="301">
        <f t="shared" si="39"/>
        <v>0.12821733333333332</v>
      </c>
      <c r="BD64" s="67" t="s">
        <v>29</v>
      </c>
      <c r="BE64" s="852" cm="1">
        <f t="array" ref="BE64">AVERAGE('Background Data'!N15:V15/'Background Data'!M15:U15)</f>
        <v>1.019772089707403</v>
      </c>
      <c r="BF64" s="853">
        <f>(('Background Data'!V15*BE64)/'Background Data'!C15)^(1/4)</f>
        <v>1.0801834871468274</v>
      </c>
      <c r="BG64" s="411">
        <f>('Background Data'!V15/'Background Data'!G15)^(1/4)</f>
        <v>1.0536093598788325</v>
      </c>
    </row>
    <row r="65" spans="37:51" x14ac:dyDescent="0.25">
      <c r="AK65" s="381" t="s">
        <v>133</v>
      </c>
      <c r="AL65" s="80">
        <f>'Background Data'!$X$5*BE8</f>
        <v>1.1949290352924151</v>
      </c>
      <c r="AM65" s="423">
        <f t="shared" si="40"/>
        <v>1.2</v>
      </c>
      <c r="AY65" s="752"/>
    </row>
    <row r="66" spans="37:51" ht="15.75" thickBot="1" x14ac:dyDescent="0.3">
      <c r="AK66" s="379" t="s">
        <v>194</v>
      </c>
      <c r="AM66" s="423"/>
    </row>
    <row r="67" spans="37:51" x14ac:dyDescent="0.25">
      <c r="AK67" s="381" t="s">
        <v>108</v>
      </c>
      <c r="AL67" s="80">
        <f>'Background Data'!$X$6*BE31</f>
        <v>292.53147838497671</v>
      </c>
      <c r="AM67" s="423">
        <f t="shared" si="40"/>
        <v>292.5</v>
      </c>
      <c r="AO67" s="294" t="s">
        <v>4586</v>
      </c>
      <c r="AP67" s="70"/>
      <c r="AQ67" s="70"/>
      <c r="AR67" s="70"/>
      <c r="AS67" s="70"/>
      <c r="AT67" s="70"/>
      <c r="AU67" s="70"/>
      <c r="AV67" s="295"/>
    </row>
    <row r="68" spans="37:51" ht="15.75" thickBot="1" x14ac:dyDescent="0.3">
      <c r="AK68" s="381" t="s">
        <v>107</v>
      </c>
      <c r="AL68" s="80">
        <f>'Background Data'!$X$6*BE32</f>
        <v>14.40319182991133</v>
      </c>
      <c r="AM68" s="423">
        <f t="shared" si="40"/>
        <v>14.4</v>
      </c>
      <c r="AO68" s="232" t="s">
        <v>4249</v>
      </c>
      <c r="AP68" s="88">
        <v>2021</v>
      </c>
      <c r="AQ68" s="88">
        <v>2025</v>
      </c>
      <c r="AR68" s="88">
        <v>2030</v>
      </c>
      <c r="AS68" s="88">
        <v>2035</v>
      </c>
      <c r="AT68" s="88">
        <v>2040</v>
      </c>
      <c r="AU68" s="88">
        <v>2045</v>
      </c>
      <c r="AV68" s="378">
        <v>2050</v>
      </c>
    </row>
    <row r="69" spans="37:51" ht="15.75" thickTop="1" x14ac:dyDescent="0.25">
      <c r="AK69" s="381" t="s">
        <v>131</v>
      </c>
      <c r="AL69" s="80">
        <f>'Background Data'!$X$6*BE33</f>
        <v>18.160321756599075</v>
      </c>
      <c r="AM69" s="423">
        <f t="shared" si="40"/>
        <v>18.2</v>
      </c>
      <c r="AO69" s="64" t="s">
        <v>17</v>
      </c>
      <c r="AP69" s="520">
        <v>4271.4805627041596</v>
      </c>
      <c r="AQ69" s="520">
        <v>5644.0667690287901</v>
      </c>
      <c r="AR69" s="520">
        <v>5701.7852593191601</v>
      </c>
      <c r="AS69" s="520">
        <v>6157.3914058891396</v>
      </c>
      <c r="AT69" s="520">
        <v>6473.9098663525801</v>
      </c>
      <c r="AU69" s="520">
        <v>7120.6518344283104</v>
      </c>
      <c r="AV69" s="940">
        <v>7510.7558181288596</v>
      </c>
    </row>
    <row r="70" spans="37:51" x14ac:dyDescent="0.25">
      <c r="AK70" s="381" t="s">
        <v>132</v>
      </c>
      <c r="AL70" s="80">
        <f>'Background Data'!$X$6*BE34</f>
        <v>33.588302718008201</v>
      </c>
      <c r="AM70" s="423">
        <f t="shared" si="40"/>
        <v>33.6</v>
      </c>
      <c r="AO70" s="64" t="s">
        <v>194</v>
      </c>
      <c r="AP70" s="520">
        <v>4112.37676407651</v>
      </c>
      <c r="AQ70" s="520">
        <v>5461.9251114591498</v>
      </c>
      <c r="AR70" s="520">
        <v>5930.8506886893401</v>
      </c>
      <c r="AS70" s="520">
        <v>6727.2119889187097</v>
      </c>
      <c r="AT70" s="520">
        <v>6689.3595588356102</v>
      </c>
      <c r="AU70" s="520">
        <v>7021.8978313594798</v>
      </c>
      <c r="AV70" s="940">
        <v>8114.6413598628396</v>
      </c>
    </row>
    <row r="71" spans="37:51" x14ac:dyDescent="0.25">
      <c r="AK71" s="381" t="s">
        <v>133</v>
      </c>
      <c r="AL71" s="80">
        <f>'Background Data'!$X$6*BE35</f>
        <v>6.8857053105046777</v>
      </c>
      <c r="AM71" s="423">
        <f t="shared" si="40"/>
        <v>6.9</v>
      </c>
      <c r="AO71" s="64" t="s">
        <v>195</v>
      </c>
      <c r="AP71" s="520">
        <v>1149.22821584023</v>
      </c>
      <c r="AQ71" s="520">
        <v>1500.6980084044101</v>
      </c>
      <c r="AR71" s="520">
        <v>1579.01517215846</v>
      </c>
      <c r="AS71" s="520">
        <v>1927.7704782170699</v>
      </c>
      <c r="AT71" s="520">
        <v>1830.9602613310999</v>
      </c>
      <c r="AU71" s="520">
        <v>1892.85580104622</v>
      </c>
      <c r="AV71" s="940">
        <v>2285.3226711167099</v>
      </c>
    </row>
    <row r="72" spans="37:51" x14ac:dyDescent="0.25">
      <c r="AK72" s="379" t="s">
        <v>195</v>
      </c>
      <c r="AM72" s="423"/>
      <c r="AO72" s="64" t="s">
        <v>28</v>
      </c>
      <c r="AP72" s="520">
        <v>432.74719892996501</v>
      </c>
      <c r="AQ72" s="520">
        <v>494.75146665756898</v>
      </c>
      <c r="AR72" s="520">
        <v>530.02353463390796</v>
      </c>
      <c r="AS72" s="520">
        <v>608.17328302444798</v>
      </c>
      <c r="AT72" s="520">
        <v>595.21845160441001</v>
      </c>
      <c r="AU72" s="520">
        <v>644.84678098421</v>
      </c>
      <c r="AV72" s="940">
        <v>714.80372829502198</v>
      </c>
    </row>
    <row r="73" spans="37:51" ht="15.75" thickBot="1" x14ac:dyDescent="0.3">
      <c r="AK73" s="381" t="s">
        <v>108</v>
      </c>
      <c r="AL73" s="80">
        <f>'Background Data'!$X$7*BE37</f>
        <v>82.346008679880811</v>
      </c>
      <c r="AM73" s="423">
        <f>ROUND(AL73, 1)</f>
        <v>82.3</v>
      </c>
      <c r="AO73" s="67" t="s">
        <v>29</v>
      </c>
      <c r="AP73" s="928">
        <v>150.52779497867701</v>
      </c>
      <c r="AQ73" s="928">
        <v>153.33293914699601</v>
      </c>
      <c r="AR73" s="928">
        <v>159.612065537288</v>
      </c>
      <c r="AS73" s="928">
        <v>176.24471718107799</v>
      </c>
      <c r="AT73" s="928">
        <v>177.53503348585599</v>
      </c>
      <c r="AU73" s="928">
        <v>193.55122843763101</v>
      </c>
      <c r="AV73" s="941">
        <v>210.28769960909401</v>
      </c>
    </row>
    <row r="74" spans="37:51" x14ac:dyDescent="0.25">
      <c r="AK74" s="381" t="s">
        <v>107</v>
      </c>
      <c r="AL74" s="80">
        <f>'Background Data'!$X$7*BE38</f>
        <v>13.56772975774064</v>
      </c>
      <c r="AM74" s="423">
        <f t="shared" si="40"/>
        <v>13.6</v>
      </c>
    </row>
    <row r="75" spans="37:51" x14ac:dyDescent="0.25">
      <c r="AK75" s="381" t="s">
        <v>131</v>
      </c>
      <c r="AL75" s="80">
        <f>'Background Data'!$X$7*BE39</f>
        <v>1.5325235134084725</v>
      </c>
      <c r="AM75" s="423">
        <f t="shared" si="40"/>
        <v>1.5</v>
      </c>
      <c r="AR75" s="84"/>
      <c r="AS75" s="84"/>
      <c r="AT75" s="84"/>
      <c r="AU75" s="84"/>
      <c r="AV75" s="84"/>
    </row>
    <row r="76" spans="37:51" x14ac:dyDescent="0.25">
      <c r="AK76" s="381" t="s">
        <v>132</v>
      </c>
      <c r="AL76" s="80">
        <f>'Background Data'!$X$7*BE40</f>
        <v>4.2984770047933667</v>
      </c>
      <c r="AM76" s="423">
        <f t="shared" si="40"/>
        <v>4.3</v>
      </c>
    </row>
    <row r="77" spans="37:51" x14ac:dyDescent="0.25">
      <c r="AK77" s="381" t="s">
        <v>133</v>
      </c>
      <c r="AL77" s="80">
        <f>'Background Data'!$X$7*BE41</f>
        <v>0.41026104417670678</v>
      </c>
      <c r="AM77" s="423">
        <f t="shared" si="40"/>
        <v>0.4</v>
      </c>
    </row>
    <row r="78" spans="37:51" x14ac:dyDescent="0.25">
      <c r="AK78" s="379" t="s">
        <v>28</v>
      </c>
      <c r="AM78" s="423"/>
    </row>
    <row r="79" spans="37:51" x14ac:dyDescent="0.25">
      <c r="AK79" s="381" t="s">
        <v>108</v>
      </c>
      <c r="AL79" s="80">
        <f>'Background Data'!$X$8*BC28</f>
        <v>18.059336524922557</v>
      </c>
      <c r="AM79" s="423">
        <f t="shared" si="40"/>
        <v>18.100000000000001</v>
      </c>
    </row>
    <row r="80" spans="37:51" x14ac:dyDescent="0.25">
      <c r="AK80" s="381" t="s">
        <v>107</v>
      </c>
      <c r="AL80" s="80">
        <f>'Background Data'!$X$8*BC29</f>
        <v>28.849591166589168</v>
      </c>
      <c r="AM80" s="423">
        <f t="shared" si="40"/>
        <v>28.8</v>
      </c>
    </row>
    <row r="81" spans="37:49" ht="15.75" thickBot="1" x14ac:dyDescent="0.3">
      <c r="AK81" s="431" t="s">
        <v>4250</v>
      </c>
      <c r="AL81" s="427">
        <f>'Background Data'!X9</f>
        <v>12.577</v>
      </c>
      <c r="AM81" s="428">
        <f t="shared" si="40"/>
        <v>12.6</v>
      </c>
    </row>
    <row r="82" spans="37:49" ht="15.75" thickBot="1" x14ac:dyDescent="0.3"/>
    <row r="83" spans="37:49" x14ac:dyDescent="0.25">
      <c r="AK83" s="836" t="s">
        <v>4782</v>
      </c>
      <c r="AL83" s="838"/>
      <c r="AM83" s="837"/>
      <c r="AO83" s="836" t="s">
        <v>4783</v>
      </c>
      <c r="AP83" s="838"/>
      <c r="AQ83" s="838"/>
      <c r="AS83" s="294" t="s">
        <v>4789</v>
      </c>
      <c r="AT83" s="70"/>
      <c r="AU83" s="70"/>
      <c r="AV83" s="295"/>
    </row>
    <row r="84" spans="37:49" ht="15.75" thickBot="1" x14ac:dyDescent="0.3">
      <c r="AK84" s="232" t="s">
        <v>4249</v>
      </c>
      <c r="AL84" s="88" t="s">
        <v>4787</v>
      </c>
      <c r="AM84" s="378" t="s">
        <v>4256</v>
      </c>
      <c r="AO84" s="232" t="s">
        <v>4249</v>
      </c>
      <c r="AP84" s="88" t="s">
        <v>4787</v>
      </c>
      <c r="AQ84" s="378" t="s">
        <v>4256</v>
      </c>
      <c r="AS84" s="232" t="s">
        <v>4788</v>
      </c>
      <c r="AT84" s="88" t="s">
        <v>4790</v>
      </c>
      <c r="AU84" s="88" t="s">
        <v>4791</v>
      </c>
      <c r="AV84" s="378" t="s">
        <v>4792</v>
      </c>
    </row>
    <row r="85" spans="37:49" ht="15.75" thickTop="1" x14ac:dyDescent="0.25">
      <c r="AK85" s="379" t="s">
        <v>17</v>
      </c>
      <c r="AM85" s="63"/>
      <c r="AO85" s="379" t="s">
        <v>17</v>
      </c>
      <c r="AQ85" s="63"/>
      <c r="AS85" s="994" t="s">
        <v>17</v>
      </c>
      <c r="AT85" s="998">
        <v>457.18333663659502</v>
      </c>
      <c r="AU85" s="882"/>
      <c r="AV85" s="995"/>
    </row>
    <row r="86" spans="37:49" x14ac:dyDescent="0.25">
      <c r="AK86" s="381" t="s">
        <v>108</v>
      </c>
      <c r="AL86" s="30">
        <f>BE4</f>
        <v>0.80563846529549032</v>
      </c>
      <c r="AM86" s="840">
        <f>ROUND(AL86, 4)</f>
        <v>0.80559999999999998</v>
      </c>
      <c r="AO86" s="381" t="s">
        <v>108</v>
      </c>
      <c r="AP86" s="30">
        <f>'Background Data'!AX40/'Background Data'!AX$39</f>
        <v>0.94710332980006584</v>
      </c>
      <c r="AQ86" s="840">
        <f>ROUND(AP86, 4)</f>
        <v>0.94710000000000005</v>
      </c>
      <c r="AS86" s="992">
        <v>3608.7539999999999</v>
      </c>
      <c r="AT86" s="60">
        <f>$AT$85*AU86</f>
        <v>420.60866970566741</v>
      </c>
      <c r="AU86" s="1004">
        <v>0.92</v>
      </c>
      <c r="AV86" s="1000">
        <f>(AS86+AT86)/SUM($AS$86:$AT$90)</f>
        <v>0.94304635630851219</v>
      </c>
      <c r="AW86" s="30">
        <f>AV86-AQ86</f>
        <v>-4.0536436914878626E-3</v>
      </c>
    </row>
    <row r="87" spans="37:49" x14ac:dyDescent="0.25">
      <c r="AK87" s="381" t="s">
        <v>107</v>
      </c>
      <c r="AL87" s="30">
        <f t="shared" ref="AL87:AL90" si="41">BE5</f>
        <v>0</v>
      </c>
      <c r="AM87" s="840">
        <f t="shared" ref="AM87:AM90" si="42">ROUND(AL87, 4)</f>
        <v>0</v>
      </c>
      <c r="AO87" s="381" t="s">
        <v>107</v>
      </c>
      <c r="AP87" s="30">
        <f>'Background Data'!AX41/'Background Data'!AX$39</f>
        <v>1.1792363490159462E-2</v>
      </c>
      <c r="AQ87" s="840">
        <f>ROUND(AP87, 4)</f>
        <v>1.18E-2</v>
      </c>
      <c r="AS87" s="992">
        <v>62.314639999999997</v>
      </c>
      <c r="AT87" s="60">
        <f t="shared" ref="AT87:AT90" si="43">$AT$85*AU87</f>
        <v>0</v>
      </c>
      <c r="AU87" s="1005">
        <v>0</v>
      </c>
      <c r="AV87" s="1000">
        <f t="shared" ref="AV87:AV90" si="44">(AS87+AT87)/SUM($AS$86:$AT$90)</f>
        <v>1.4584339761347249E-2</v>
      </c>
      <c r="AW87" s="30">
        <f t="shared" ref="AW87:AW106" si="45">AV87-AQ87</f>
        <v>2.7843397613472494E-3</v>
      </c>
    </row>
    <row r="88" spans="37:49" x14ac:dyDescent="0.25">
      <c r="AK88" s="381" t="s">
        <v>131</v>
      </c>
      <c r="AL88" s="30">
        <f t="shared" si="41"/>
        <v>9.2011721929776955E-2</v>
      </c>
      <c r="AM88" s="840">
        <f t="shared" si="42"/>
        <v>9.1999999999999998E-2</v>
      </c>
      <c r="AO88" s="381" t="s">
        <v>4784</v>
      </c>
      <c r="AP88" s="30">
        <f>'Background Data'!AX42/'Background Data'!AX$39</f>
        <v>1.3570737899112475E-2</v>
      </c>
      <c r="AQ88" s="840">
        <f>ROUND(AP88, 4)</f>
        <v>1.3599999999999999E-2</v>
      </c>
      <c r="AS88" s="992">
        <v>40.81691</v>
      </c>
      <c r="AT88" s="60">
        <f t="shared" si="43"/>
        <v>18.287333465463799</v>
      </c>
      <c r="AU88" s="1005">
        <v>0.04</v>
      </c>
      <c r="AV88" s="1000">
        <f t="shared" si="44"/>
        <v>1.3832967149255969E-2</v>
      </c>
      <c r="AW88" s="30">
        <f t="shared" si="45"/>
        <v>2.3296714925596929E-4</v>
      </c>
    </row>
    <row r="89" spans="37:49" x14ac:dyDescent="0.25">
      <c r="AK89" s="381" t="s">
        <v>132</v>
      </c>
      <c r="AL89" s="30">
        <f t="shared" si="41"/>
        <v>9.4878891481702574E-2</v>
      </c>
      <c r="AM89" s="840">
        <f t="shared" si="42"/>
        <v>9.4899999999999998E-2</v>
      </c>
      <c r="AO89" s="381" t="s">
        <v>4786</v>
      </c>
      <c r="AP89" s="30">
        <f>'Background Data'!AX43/'Background Data'!AX$39</f>
        <v>2.2345646604574197E-2</v>
      </c>
      <c r="AQ89" s="840">
        <f>ROUND(AP89, 4)</f>
        <v>2.23E-2</v>
      </c>
      <c r="AS89" s="992">
        <v>78.217399999999998</v>
      </c>
      <c r="AT89" s="60">
        <f t="shared" si="43"/>
        <v>18.287333465463799</v>
      </c>
      <c r="AU89" s="1005">
        <v>0.04</v>
      </c>
      <c r="AV89" s="1000">
        <f t="shared" si="44"/>
        <v>2.2586310719897959E-2</v>
      </c>
      <c r="AW89" s="30">
        <f t="shared" si="45"/>
        <v>2.8631071989795864E-4</v>
      </c>
    </row>
    <row r="90" spans="37:49" x14ac:dyDescent="0.25">
      <c r="AK90" s="381" t="s">
        <v>133</v>
      </c>
      <c r="AL90" s="30">
        <f t="shared" si="41"/>
        <v>7.470921293030155E-3</v>
      </c>
      <c r="AM90" s="840">
        <f t="shared" si="42"/>
        <v>7.4999999999999997E-3</v>
      </c>
      <c r="AO90" s="381" t="s">
        <v>4785</v>
      </c>
      <c r="AP90" s="30">
        <f>'Background Data'!AX44/'Background Data'!AX$39</f>
        <v>5.1855962305905655E-3</v>
      </c>
      <c r="AQ90" s="840">
        <f>ROUND(AP90, 4)</f>
        <v>5.1999999999999998E-3</v>
      </c>
      <c r="AS90" s="992">
        <v>25.422730000000001</v>
      </c>
      <c r="AT90" s="60">
        <f t="shared" si="43"/>
        <v>0</v>
      </c>
      <c r="AU90" s="1005">
        <v>0</v>
      </c>
      <c r="AV90" s="1000">
        <f t="shared" si="44"/>
        <v>5.950026060986561E-3</v>
      </c>
      <c r="AW90" s="30">
        <f t="shared" si="45"/>
        <v>7.5002606098656128E-4</v>
      </c>
    </row>
    <row r="91" spans="37:49" x14ac:dyDescent="0.25">
      <c r="AK91" s="379" t="s">
        <v>194</v>
      </c>
      <c r="AM91" s="842"/>
      <c r="AO91" s="379" t="s">
        <v>194</v>
      </c>
      <c r="AQ91" s="842"/>
      <c r="AS91" s="996" t="s">
        <v>194</v>
      </c>
      <c r="AT91" s="999">
        <v>301.14760207166597</v>
      </c>
      <c r="AU91" s="1002">
        <f>SUM(AU86:AU90)</f>
        <v>1</v>
      </c>
      <c r="AV91" s="997"/>
      <c r="AW91" s="1003" cm="1">
        <f t="array" ref="AW91">SUM(ABS(AW86:AW90))</f>
        <v>8.1072873829756004E-3</v>
      </c>
    </row>
    <row r="92" spans="37:49" x14ac:dyDescent="0.25">
      <c r="AK92" s="381" t="s">
        <v>108</v>
      </c>
      <c r="AL92" s="30">
        <f>BE31</f>
        <v>0.8002086566010157</v>
      </c>
      <c r="AM92" s="840">
        <f>ROUND(AL92, 4)</f>
        <v>0.80020000000000002</v>
      </c>
      <c r="AN92" s="80"/>
      <c r="AO92" s="381" t="s">
        <v>108</v>
      </c>
      <c r="AP92" s="30">
        <f>('Background Data'!AX33-'Background Data'!AX40)/('Background Data'!AX$32-'Background Data'!AX$39)</f>
        <v>0.94046614141362039</v>
      </c>
      <c r="AQ92" s="840">
        <f>ROUND(AP92, 4)</f>
        <v>0.9405</v>
      </c>
      <c r="AS92" s="992">
        <v>3641.76289</v>
      </c>
      <c r="AT92" s="60">
        <f>$AT$91*AU92</f>
        <v>216.82627349159949</v>
      </c>
      <c r="AU92" s="1005">
        <v>0.72</v>
      </c>
      <c r="AV92" s="1000">
        <f>(AS92+AT92)/SUM($AS$92:$AT$96)</f>
        <v>0.93826717686110805</v>
      </c>
      <c r="AW92" s="30">
        <f t="shared" si="45"/>
        <v>-2.2328231388919484E-3</v>
      </c>
    </row>
    <row r="93" spans="37:49" x14ac:dyDescent="0.25">
      <c r="AK93" s="381" t="s">
        <v>107</v>
      </c>
      <c r="AL93" s="30">
        <f t="shared" ref="AL93:AL96" si="46">BE32</f>
        <v>3.9399379679106623E-2</v>
      </c>
      <c r="AM93" s="840">
        <f t="shared" ref="AM93:AM96" si="47">ROUND(AL93, 4)</f>
        <v>3.9399999999999998E-2</v>
      </c>
      <c r="AN93" s="80"/>
      <c r="AO93" s="381" t="s">
        <v>107</v>
      </c>
      <c r="AP93" s="30">
        <f>('Background Data'!AX34-'Background Data'!AX41)/('Background Data'!AX$32-'Background Data'!AX$39)</f>
        <v>2.750149035509632E-2</v>
      </c>
      <c r="AQ93" s="840">
        <f>ROUND(AP93, 4)</f>
        <v>2.75E-2</v>
      </c>
      <c r="AS93" s="992">
        <v>139.43601000000001</v>
      </c>
      <c r="AT93" s="60">
        <f t="shared" ref="AT93:AT96" si="48">$AT$91*AU93</f>
        <v>0</v>
      </c>
      <c r="AU93" s="1005">
        <v>0</v>
      </c>
      <c r="AV93" s="1000">
        <f t="shared" ref="AV93:AV96" si="49">(AS93+AT93)/SUM($AS$92:$AT$96)</f>
        <v>3.3905716807925743E-2</v>
      </c>
      <c r="AW93" s="30">
        <f t="shared" si="45"/>
        <v>6.4057168079257425E-3</v>
      </c>
    </row>
    <row r="94" spans="37:49" x14ac:dyDescent="0.25">
      <c r="AK94" s="381" t="s">
        <v>131</v>
      </c>
      <c r="AL94" s="30">
        <f t="shared" si="46"/>
        <v>4.9676864713909204E-2</v>
      </c>
      <c r="AM94" s="840">
        <f t="shared" si="47"/>
        <v>4.9700000000000001E-2</v>
      </c>
      <c r="AO94" s="381" t="s">
        <v>4784</v>
      </c>
      <c r="AP94" s="30">
        <f>('Background Data'!AX35-'Background Data'!AX42)/('Background Data'!AX$32-'Background Data'!AX$39)</f>
        <v>8.5068774556142004E-3</v>
      </c>
      <c r="AQ94" s="840">
        <f>ROUND(AP94, 4)</f>
        <v>8.5000000000000006E-3</v>
      </c>
      <c r="AS94" s="992">
        <v>4.4483800000000002</v>
      </c>
      <c r="AT94" s="60">
        <f t="shared" si="48"/>
        <v>24.09180816573328</v>
      </c>
      <c r="AU94" s="1005">
        <v>0.08</v>
      </c>
      <c r="AV94" s="1000">
        <f t="shared" si="49"/>
        <v>6.9399256160031127E-3</v>
      </c>
      <c r="AW94" s="30">
        <f t="shared" si="45"/>
        <v>-1.5600743839968879E-3</v>
      </c>
    </row>
    <row r="95" spans="37:49" x14ac:dyDescent="0.25">
      <c r="AK95" s="381" t="s">
        <v>132</v>
      </c>
      <c r="AL95" s="30">
        <f t="shared" si="46"/>
        <v>9.1879515817829729E-2</v>
      </c>
      <c r="AM95" s="840">
        <f t="shared" si="47"/>
        <v>9.1899999999999996E-2</v>
      </c>
      <c r="AO95" s="381" t="s">
        <v>4786</v>
      </c>
      <c r="AP95" s="30">
        <f>('Background Data'!AX36-'Background Data'!AX43)/('Background Data'!AX$32-'Background Data'!AX$39)</f>
        <v>2.0096830924793856E-2</v>
      </c>
      <c r="AQ95" s="840">
        <f>ROUND(AP95, 4)</f>
        <v>2.01E-2</v>
      </c>
      <c r="AS95" s="992">
        <v>21.15926</v>
      </c>
      <c r="AT95" s="60">
        <f t="shared" si="48"/>
        <v>54.206568372899874</v>
      </c>
      <c r="AU95" s="1005">
        <v>0.18</v>
      </c>
      <c r="AV95" s="1000">
        <f t="shared" si="49"/>
        <v>1.832620163045599E-2</v>
      </c>
      <c r="AW95" s="30">
        <f t="shared" si="45"/>
        <v>-1.77379836954401E-3</v>
      </c>
    </row>
    <row r="96" spans="37:49" x14ac:dyDescent="0.25">
      <c r="AK96" s="381" t="s">
        <v>133</v>
      </c>
      <c r="AL96" s="30">
        <f t="shared" si="46"/>
        <v>1.8835583188138702E-2</v>
      </c>
      <c r="AM96" s="840">
        <f t="shared" si="47"/>
        <v>1.8800000000000001E-2</v>
      </c>
      <c r="AO96" s="381" t="s">
        <v>4785</v>
      </c>
      <c r="AP96" s="30">
        <f>('Background Data'!AX37-'Background Data'!AX44)/('Background Data'!AX$32-'Background Data'!AX$39)</f>
        <v>3.3992991115400599E-3</v>
      </c>
      <c r="AQ96" s="840">
        <f>ROUND(AP96, 4)</f>
        <v>3.3999999999999998E-3</v>
      </c>
      <c r="AS96" s="992">
        <v>4.5089800000000002</v>
      </c>
      <c r="AT96" s="60">
        <f t="shared" si="48"/>
        <v>6.02295204143332</v>
      </c>
      <c r="AU96" s="1005">
        <v>0.02</v>
      </c>
      <c r="AV96" s="1000">
        <f t="shared" si="49"/>
        <v>2.5609790845073474E-3</v>
      </c>
      <c r="AW96" s="30">
        <f t="shared" si="45"/>
        <v>-8.3902091549265239E-4</v>
      </c>
    </row>
    <row r="97" spans="37:49" x14ac:dyDescent="0.25">
      <c r="AK97" s="379" t="s">
        <v>195</v>
      </c>
      <c r="AM97" s="842"/>
      <c r="AO97" s="379" t="s">
        <v>195</v>
      </c>
      <c r="AQ97" s="842"/>
      <c r="AS97" s="996" t="s">
        <v>195</v>
      </c>
      <c r="AT97" s="999">
        <v>114.754858085929</v>
      </c>
      <c r="AU97" s="1002">
        <f>SUM(AU92:AU96)</f>
        <v>1</v>
      </c>
      <c r="AV97" s="997"/>
      <c r="AW97" s="1003" cm="1">
        <f t="array" ref="AW97">SUM(ABS(AW92:AW96))</f>
        <v>1.2811433615851242E-2</v>
      </c>
    </row>
    <row r="98" spans="37:49" x14ac:dyDescent="0.25">
      <c r="AK98" s="381" t="s">
        <v>108</v>
      </c>
      <c r="AL98" s="30">
        <f>BE37</f>
        <v>0.80608887161549425</v>
      </c>
      <c r="AM98" s="840">
        <f>ROUND(AL98, 4)</f>
        <v>0.80610000000000004</v>
      </c>
      <c r="AO98" s="381" t="s">
        <v>108</v>
      </c>
      <c r="AP98" s="30">
        <f>('Background Data'!AX54+'Background Data'!AX61)/('Background Data'!AX$53+'Background Data'!AX$60)</f>
        <v>0.9289702133152612</v>
      </c>
      <c r="AQ98" s="840">
        <f>ROUND(AP98, 4)</f>
        <v>0.92900000000000005</v>
      </c>
      <c r="AS98" s="992">
        <v>959.82560000000001</v>
      </c>
      <c r="AT98" s="60">
        <f>$AT$97*AU98</f>
        <v>103.85314656776575</v>
      </c>
      <c r="AU98" s="1005">
        <v>0.90500000000000003</v>
      </c>
      <c r="AV98" s="1000">
        <f>(AS98+AT98)/SUM($AS$98:$AT$102)</f>
        <v>0.92558567835769556</v>
      </c>
      <c r="AW98" s="30">
        <f t="shared" si="45"/>
        <v>-3.4143216423044853E-3</v>
      </c>
    </row>
    <row r="99" spans="37:49" x14ac:dyDescent="0.25">
      <c r="AK99" s="381" t="s">
        <v>107</v>
      </c>
      <c r="AL99" s="30">
        <f t="shared" ref="AL99:AL102" si="50">BE38</f>
        <v>0.13281513149371679</v>
      </c>
      <c r="AM99" s="840">
        <f t="shared" ref="AM99:AM106" si="51">ROUND(AL99, 4)</f>
        <v>0.1328</v>
      </c>
      <c r="AO99" s="381" t="s">
        <v>107</v>
      </c>
      <c r="AP99" s="30">
        <f>('Background Data'!AX55+'Background Data'!AX62)/('Background Data'!AX$53+'Background Data'!AX$60)</f>
        <v>6.0252833299594848E-2</v>
      </c>
      <c r="AQ99" s="840">
        <f>ROUND(AP99, 4)</f>
        <v>6.0299999999999999E-2</v>
      </c>
      <c r="AS99" s="992">
        <v>73.652060000000006</v>
      </c>
      <c r="AT99" s="60">
        <f t="shared" ref="AT99:AT102" si="52">$AT$97*AU99</f>
        <v>0</v>
      </c>
      <c r="AU99" s="1005">
        <v>0</v>
      </c>
      <c r="AV99" s="1000">
        <f t="shared" ref="AV99:AV102" si="53">(AS99+AT99)/SUM($AS$98:$AT$102)</f>
        <v>6.4090113803170354E-2</v>
      </c>
      <c r="AW99" s="30">
        <f t="shared" si="45"/>
        <v>3.7901138031703543E-3</v>
      </c>
    </row>
    <row r="100" spans="37:49" x14ac:dyDescent="0.25">
      <c r="AK100" s="381" t="s">
        <v>131</v>
      </c>
      <c r="AL100" s="30">
        <f t="shared" si="50"/>
        <v>1.5001943256898562E-2</v>
      </c>
      <c r="AM100" s="840">
        <f t="shared" si="51"/>
        <v>1.4999999999999999E-2</v>
      </c>
      <c r="AO100" s="381" t="s">
        <v>4784</v>
      </c>
      <c r="AP100" s="30">
        <f>('Background Data'!AX56+'Background Data'!AX63)/('Background Data'!AX$53+'Background Data'!AX$60)</f>
        <v>1.0925402734871222E-3</v>
      </c>
      <c r="AQ100" s="840">
        <f>ROUND(AP100, 4)</f>
        <v>1.1000000000000001E-3</v>
      </c>
      <c r="AS100" s="992">
        <v>0</v>
      </c>
      <c r="AT100" s="60">
        <f t="shared" si="52"/>
        <v>1.14754858085929</v>
      </c>
      <c r="AU100" s="1005">
        <v>0.01</v>
      </c>
      <c r="AV100" s="1000">
        <f t="shared" si="53"/>
        <v>9.9856703453967918E-4</v>
      </c>
      <c r="AW100" s="30">
        <f t="shared" si="45"/>
        <v>-1.0143296546032089E-4</v>
      </c>
    </row>
    <row r="101" spans="37:49" x14ac:dyDescent="0.25">
      <c r="AK101" s="381" t="s">
        <v>132</v>
      </c>
      <c r="AL101" s="30">
        <f t="shared" si="50"/>
        <v>4.2077989376862288E-2</v>
      </c>
      <c r="AM101" s="840">
        <f t="shared" si="51"/>
        <v>4.2099999999999999E-2</v>
      </c>
      <c r="AO101" s="381" t="s">
        <v>4786</v>
      </c>
      <c r="AP101" s="30">
        <f>('Background Data'!AX57+'Background Data'!AX64)/('Background Data'!AX$53+'Background Data'!AX$60)</f>
        <v>8.333700056035228E-3</v>
      </c>
      <c r="AQ101" s="840">
        <f>ROUND(AP101, 4)</f>
        <v>8.3000000000000001E-3</v>
      </c>
      <c r="AS101" s="992">
        <v>6.5820000000000004E-2</v>
      </c>
      <c r="AT101" s="60">
        <f t="shared" si="52"/>
        <v>9.1803886468743201</v>
      </c>
      <c r="AU101" s="1005">
        <v>0.08</v>
      </c>
      <c r="AV101" s="1000">
        <f t="shared" si="53"/>
        <v>8.0458111344887413E-3</v>
      </c>
      <c r="AW101" s="30">
        <f t="shared" si="45"/>
        <v>-2.5418886551125883E-4</v>
      </c>
    </row>
    <row r="102" spans="37:49" x14ac:dyDescent="0.25">
      <c r="AK102" s="381" t="s">
        <v>133</v>
      </c>
      <c r="AL102" s="30">
        <f t="shared" si="50"/>
        <v>4.0160642570281121E-3</v>
      </c>
      <c r="AM102" s="840">
        <f t="shared" si="51"/>
        <v>4.0000000000000001E-3</v>
      </c>
      <c r="AO102" s="381" t="s">
        <v>4785</v>
      </c>
      <c r="AP102" s="30">
        <f>('Background Data'!AX58+'Background Data'!AX65)/('Background Data'!AX$53+'Background Data'!AX$60)</f>
        <v>1.2750214899503311E-3</v>
      </c>
      <c r="AQ102" s="840">
        <f>ROUND(AP102, 4)</f>
        <v>1.2999999999999999E-3</v>
      </c>
      <c r="AS102" s="992">
        <v>0.89700000000000002</v>
      </c>
      <c r="AT102" s="60">
        <f t="shared" si="52"/>
        <v>0.57377429042964501</v>
      </c>
      <c r="AU102" s="1005">
        <v>5.0000000000000001E-3</v>
      </c>
      <c r="AV102" s="1000">
        <f t="shared" si="53"/>
        <v>1.2798296701058065E-3</v>
      </c>
      <c r="AW102" s="30">
        <f t="shared" si="45"/>
        <v>-2.017032989419347E-5</v>
      </c>
    </row>
    <row r="103" spans="37:49" x14ac:dyDescent="0.25">
      <c r="AK103" s="379" t="s">
        <v>28</v>
      </c>
      <c r="AM103" s="842"/>
      <c r="AO103" s="379" t="s">
        <v>28</v>
      </c>
      <c r="AQ103" s="842"/>
      <c r="AS103" s="996" t="s">
        <v>28</v>
      </c>
      <c r="AT103" s="999">
        <v>37.654479516917</v>
      </c>
      <c r="AU103" s="1002">
        <f>SUM(AU98:AU102)</f>
        <v>1</v>
      </c>
      <c r="AV103" s="997"/>
      <c r="AW103" s="1003" cm="1">
        <f t="array" ref="AW103">SUM(ABS(AW98:AW102))</f>
        <v>7.5802276063406133E-3</v>
      </c>
    </row>
    <row r="104" spans="37:49" x14ac:dyDescent="0.25">
      <c r="AK104" s="381" t="s">
        <v>108</v>
      </c>
      <c r="AL104" s="30">
        <f>BC28</f>
        <v>0.38496198254012953</v>
      </c>
      <c r="AM104" s="840">
        <f t="shared" si="51"/>
        <v>0.38500000000000001</v>
      </c>
      <c r="AO104" s="381" t="s">
        <v>108</v>
      </c>
      <c r="AP104" s="30">
        <f>'Background Data'!AX75/'Background Data'!AX$74</f>
        <v>0.40317086220091158</v>
      </c>
      <c r="AQ104" s="840">
        <f>ROUND(AP104, 4)</f>
        <v>0.4032</v>
      </c>
      <c r="AS104" s="992">
        <v>149.65428</v>
      </c>
      <c r="AT104" s="60">
        <f>$AT$103*AU104</f>
        <v>19.930516008304167</v>
      </c>
      <c r="AU104" s="1005">
        <v>0.52929999999999999</v>
      </c>
      <c r="AV104" s="1000">
        <f>(AS104+AT104)/SUM($AS$104:$AT$106)</f>
        <v>0.4029502695849787</v>
      </c>
      <c r="AW104" s="30">
        <f t="shared" si="45"/>
        <v>-2.4973041502129867E-4</v>
      </c>
    </row>
    <row r="105" spans="37:49" x14ac:dyDescent="0.25">
      <c r="AK105" s="381" t="s">
        <v>107</v>
      </c>
      <c r="AL105" s="30">
        <f>BC29</f>
        <v>0.61497252657292734</v>
      </c>
      <c r="AM105" s="840">
        <f t="shared" si="51"/>
        <v>0.61499999999999999</v>
      </c>
      <c r="AO105" s="381" t="s">
        <v>107</v>
      </c>
      <c r="AP105" s="30">
        <f>'Background Data'!AX76/'Background Data'!AX$74</f>
        <v>0.59662596422790659</v>
      </c>
      <c r="AQ105" s="840">
        <f>ROUND(AP105, 4)</f>
        <v>0.59660000000000002</v>
      </c>
      <c r="AS105" s="992">
        <v>233.54911999999999</v>
      </c>
      <c r="AT105" s="60">
        <f t="shared" ref="AT105:AT106" si="54">$AT$103*AU105</f>
        <v>17.697605372950989</v>
      </c>
      <c r="AU105" s="1005">
        <v>0.47</v>
      </c>
      <c r="AV105" s="1000">
        <f t="shared" ref="AV105:AV106" si="55">(AS105+AT105)/SUM($AS$104:$AT$106)</f>
        <v>0.5969871008743981</v>
      </c>
      <c r="AW105" s="30">
        <f t="shared" si="45"/>
        <v>3.8710087439808305E-4</v>
      </c>
    </row>
    <row r="106" spans="37:49" ht="15.75" thickBot="1" x14ac:dyDescent="0.3">
      <c r="AK106" s="431" t="s">
        <v>4250</v>
      </c>
      <c r="AL106" s="839">
        <v>1</v>
      </c>
      <c r="AM106" s="841">
        <f t="shared" si="51"/>
        <v>1</v>
      </c>
      <c r="AO106" s="381" t="s">
        <v>4784</v>
      </c>
      <c r="AP106" s="30">
        <f>'Background Data'!AX77/'Background Data'!AX74</f>
        <v>1.3544904745457377E-4</v>
      </c>
      <c r="AQ106" s="840">
        <f>ROUND(AP106, 4)</f>
        <v>1E-4</v>
      </c>
      <c r="AS106" s="993">
        <v>0</v>
      </c>
      <c r="AT106" s="954">
        <f t="shared" si="54"/>
        <v>2.6358135661841899E-2</v>
      </c>
      <c r="AU106" s="1006">
        <v>6.9999999999999999E-4</v>
      </c>
      <c r="AV106" s="1001">
        <f t="shared" si="55"/>
        <v>6.2629540623302974E-5</v>
      </c>
      <c r="AW106" s="30">
        <f t="shared" si="45"/>
        <v>-3.7370459376697031E-5</v>
      </c>
    </row>
    <row r="107" spans="37:49" ht="15.75" thickBot="1" x14ac:dyDescent="0.3">
      <c r="AO107" s="431" t="s">
        <v>4250</v>
      </c>
      <c r="AP107" s="839">
        <v>1</v>
      </c>
      <c r="AQ107" s="841">
        <f>ROUND(AP107, 4)</f>
        <v>1</v>
      </c>
      <c r="AU107" s="30">
        <f>SUM(AU104:AU106)</f>
        <v>1</v>
      </c>
      <c r="AW107" s="1003" cm="1">
        <f t="array" ref="AW107">SUM(ABS(AW102:AW106))</f>
        <v>8.274599685030885E-3</v>
      </c>
    </row>
    <row r="108" spans="37:49" x14ac:dyDescent="0.25">
      <c r="AK108" s="836" t="s">
        <v>4260</v>
      </c>
      <c r="AL108" s="70"/>
      <c r="AM108" s="295"/>
    </row>
    <row r="109" spans="37:49" ht="15.75" thickBot="1" x14ac:dyDescent="0.3">
      <c r="AK109" s="232" t="s">
        <v>4249</v>
      </c>
      <c r="AL109" s="88">
        <v>2021</v>
      </c>
      <c r="AM109" s="378" t="s">
        <v>4255</v>
      </c>
    </row>
    <row r="110" spans="37:49" ht="15.75" thickTop="1" x14ac:dyDescent="0.25">
      <c r="AK110" s="379" t="s">
        <v>47</v>
      </c>
      <c r="AM110" s="63"/>
    </row>
    <row r="111" spans="37:49" x14ac:dyDescent="0.25">
      <c r="AK111" s="381" t="s">
        <v>108</v>
      </c>
      <c r="AL111" s="40">
        <f>BC46/BC$45</f>
        <v>0.10376194223816396</v>
      </c>
      <c r="AM111" s="845">
        <f>ROUNDDOWN(AL111, 1)</f>
        <v>0.1</v>
      </c>
    </row>
    <row r="112" spans="37:49" x14ac:dyDescent="0.25">
      <c r="AK112" s="381" t="s">
        <v>107</v>
      </c>
      <c r="AL112" s="40">
        <f t="shared" ref="AL112:AL113" si="56">BC47/BC$45</f>
        <v>0.7044314446461809</v>
      </c>
      <c r="AM112" s="845">
        <f t="shared" ref="AM112:AM113" si="57">ROUNDDOWN(AL112, 1)</f>
        <v>0.7</v>
      </c>
    </row>
    <row r="113" spans="37:49" x14ac:dyDescent="0.25">
      <c r="AK113" s="381" t="s">
        <v>241</v>
      </c>
      <c r="AL113" s="40">
        <f t="shared" si="56"/>
        <v>0.19180661311565528</v>
      </c>
      <c r="AM113" s="845">
        <f t="shared" si="57"/>
        <v>0.1</v>
      </c>
    </row>
    <row r="114" spans="37:49" x14ac:dyDescent="0.25">
      <c r="AK114" s="379" t="s">
        <v>269</v>
      </c>
      <c r="AM114" s="846"/>
    </row>
    <row r="115" spans="37:49" x14ac:dyDescent="0.25">
      <c r="AK115" s="381" t="s">
        <v>108</v>
      </c>
      <c r="AL115" s="40">
        <f>BC50/BC$49</f>
        <v>1.3256729092925745E-2</v>
      </c>
      <c r="AM115" s="845">
        <f t="shared" ref="AM115:AM121" si="58">ROUNDDOWN(AL115, 1)</f>
        <v>0</v>
      </c>
    </row>
    <row r="116" spans="37:49" x14ac:dyDescent="0.25">
      <c r="AK116" s="381" t="s">
        <v>107</v>
      </c>
      <c r="AL116" s="40">
        <f t="shared" ref="AL116:AL118" si="59">BC51/BC$49</f>
        <v>0.51980487122308905</v>
      </c>
      <c r="AM116" s="845">
        <f t="shared" si="58"/>
        <v>0.5</v>
      </c>
    </row>
    <row r="117" spans="37:49" x14ac:dyDescent="0.25">
      <c r="AK117" s="381" t="s">
        <v>241</v>
      </c>
      <c r="AL117" s="40">
        <f t="shared" si="59"/>
        <v>1.4316965013294188E-2</v>
      </c>
      <c r="AM117" s="845">
        <f t="shared" si="58"/>
        <v>0</v>
      </c>
    </row>
    <row r="118" spans="37:49" x14ac:dyDescent="0.25">
      <c r="AK118" s="381" t="s">
        <v>53</v>
      </c>
      <c r="AL118" s="40">
        <f t="shared" si="59"/>
        <v>0.45262143467069105</v>
      </c>
      <c r="AM118" s="845">
        <f t="shared" si="58"/>
        <v>0.4</v>
      </c>
    </row>
    <row r="119" spans="37:49" x14ac:dyDescent="0.25">
      <c r="AK119" s="379" t="s">
        <v>287</v>
      </c>
      <c r="AM119" s="846"/>
    </row>
    <row r="120" spans="37:49" x14ac:dyDescent="0.25">
      <c r="AK120" s="381" t="s">
        <v>108</v>
      </c>
      <c r="AL120" s="40">
        <f>BC55/BC$54</f>
        <v>0.16854177949371954</v>
      </c>
      <c r="AM120" s="845">
        <f t="shared" si="58"/>
        <v>0.1</v>
      </c>
    </row>
    <row r="121" spans="37:49" ht="15.75" thickBot="1" x14ac:dyDescent="0.3">
      <c r="AK121" s="388" t="s">
        <v>107</v>
      </c>
      <c r="AL121" s="839">
        <f>BC56/BC$54</f>
        <v>0.83145822050628049</v>
      </c>
      <c r="AM121" s="847">
        <f t="shared" si="58"/>
        <v>0.8</v>
      </c>
    </row>
    <row r="123" spans="37:49" ht="15.75" thickBot="1" x14ac:dyDescent="0.3">
      <c r="AO123" s="28" t="s">
        <v>4871</v>
      </c>
      <c r="AP123" s="28"/>
      <c r="AQ123" s="28"/>
      <c r="AR123" s="28"/>
      <c r="AS123" s="28"/>
      <c r="AU123" s="28" t="s">
        <v>4871</v>
      </c>
      <c r="AV123" s="28"/>
      <c r="AW123" s="28"/>
    </row>
    <row r="124" spans="37:49" ht="15.75" thickBot="1" x14ac:dyDescent="0.3">
      <c r="AK124" s="294" t="s">
        <v>4873</v>
      </c>
      <c r="AL124" s="410"/>
      <c r="AO124" s="88" t="s">
        <v>4249</v>
      </c>
      <c r="AP124" s="88" t="s">
        <v>4868</v>
      </c>
      <c r="AQ124" s="88" t="s">
        <v>4869</v>
      </c>
      <c r="AR124" s="88" t="s">
        <v>4870</v>
      </c>
      <c r="AS124" s="88" t="s">
        <v>4872</v>
      </c>
      <c r="AU124" s="88" t="s">
        <v>92</v>
      </c>
      <c r="AV124" s="88" t="s">
        <v>4870</v>
      </c>
      <c r="AW124" s="88" t="s">
        <v>4872</v>
      </c>
    </row>
    <row r="125" spans="37:49" ht="16.5" thickTop="1" thickBot="1" x14ac:dyDescent="0.3">
      <c r="AK125" s="232" t="s">
        <v>92</v>
      </c>
      <c r="AL125" s="378" t="s">
        <v>4874</v>
      </c>
      <c r="AO125" t="s">
        <v>4864</v>
      </c>
      <c r="AP125" t="s">
        <v>247</v>
      </c>
      <c r="AQ125" t="s">
        <v>2997</v>
      </c>
      <c r="AR125">
        <v>3485</v>
      </c>
      <c r="AS125" s="85">
        <f>AR125/SUM($AR$125:$AR$128)</f>
        <v>7.5981877722593105E-3</v>
      </c>
      <c r="AU125" t="s">
        <v>4875</v>
      </c>
    </row>
    <row r="126" spans="37:49" ht="15.75" thickTop="1" x14ac:dyDescent="0.25">
      <c r="AK126" s="64" t="s">
        <v>4395</v>
      </c>
      <c r="AL126" s="845">
        <f>ROUND(AS125, 3)</f>
        <v>8.0000000000000002E-3</v>
      </c>
      <c r="AO126" t="s">
        <v>4864</v>
      </c>
      <c r="AP126" t="s">
        <v>247</v>
      </c>
      <c r="AQ126" t="s">
        <v>883</v>
      </c>
      <c r="AR126">
        <v>69311</v>
      </c>
      <c r="AS126" s="85">
        <f t="shared" ref="AS126:AS128" si="60">AR126/SUM($AR$125:$AR$128)</f>
        <v>0.15111563635095124</v>
      </c>
      <c r="AU126" s="75" t="s">
        <v>4876</v>
      </c>
      <c r="AV126" s="13">
        <v>3485</v>
      </c>
      <c r="AW126" s="85">
        <f>AV126/SUM($AR$125:$AR$128)</f>
        <v>7.5981877722593105E-3</v>
      </c>
    </row>
    <row r="127" spans="37:49" x14ac:dyDescent="0.25">
      <c r="AK127" s="64" t="s">
        <v>1010</v>
      </c>
      <c r="AL127" s="845">
        <f t="shared" ref="AL127:AL131" si="61">ROUND(AS126, 3)</f>
        <v>0.151</v>
      </c>
      <c r="AO127" t="s">
        <v>4864</v>
      </c>
      <c r="AP127" t="s">
        <v>247</v>
      </c>
      <c r="AQ127" t="s">
        <v>884</v>
      </c>
      <c r="AR127">
        <v>232150</v>
      </c>
      <c r="AS127" s="85">
        <f t="shared" si="60"/>
        <v>0.50614613811477738</v>
      </c>
      <c r="AU127" s="75" t="s">
        <v>4877</v>
      </c>
      <c r="AV127" s="13">
        <v>69311</v>
      </c>
      <c r="AW127" s="85">
        <f t="shared" ref="AW127:AW129" si="62">AV127/SUM($AR$125:$AR$128)</f>
        <v>0.15111563635095124</v>
      </c>
    </row>
    <row r="128" spans="37:49" x14ac:dyDescent="0.25">
      <c r="AK128" s="64" t="s">
        <v>1011</v>
      </c>
      <c r="AL128" s="845">
        <f t="shared" si="61"/>
        <v>0.50600000000000001</v>
      </c>
      <c r="AO128" s="202" t="s">
        <v>4864</v>
      </c>
      <c r="AP128" s="202" t="s">
        <v>247</v>
      </c>
      <c r="AQ128" s="202" t="s">
        <v>885</v>
      </c>
      <c r="AR128" s="202">
        <v>153716</v>
      </c>
      <c r="AS128" s="598">
        <f t="shared" si="60"/>
        <v>0.33514003776201212</v>
      </c>
      <c r="AU128" s="75" t="s">
        <v>4878</v>
      </c>
      <c r="AV128" s="13">
        <v>232150</v>
      </c>
      <c r="AW128" s="85">
        <f t="shared" si="62"/>
        <v>0.50614613811477738</v>
      </c>
    </row>
    <row r="129" spans="37:49" x14ac:dyDescent="0.25">
      <c r="AK129" s="64" t="s">
        <v>1012</v>
      </c>
      <c r="AL129" s="845">
        <f t="shared" si="61"/>
        <v>0.33500000000000002</v>
      </c>
      <c r="AO129" t="s">
        <v>4864</v>
      </c>
      <c r="AP129" t="s">
        <v>758</v>
      </c>
      <c r="AQ129" t="s">
        <v>4865</v>
      </c>
      <c r="AR129">
        <v>39483</v>
      </c>
      <c r="AS129" s="85">
        <f>AR129/SUM($AR$129:$AR$130)</f>
        <v>0.80100219102491277</v>
      </c>
      <c r="AU129" s="288" t="s">
        <v>4879</v>
      </c>
      <c r="AV129" s="20">
        <v>153716</v>
      </c>
      <c r="AW129" s="598">
        <f t="shared" si="62"/>
        <v>0.33514003776201212</v>
      </c>
    </row>
    <row r="130" spans="37:49" x14ac:dyDescent="0.25">
      <c r="AK130" s="64" t="s">
        <v>4390</v>
      </c>
      <c r="AL130" s="845">
        <f t="shared" si="61"/>
        <v>0.80100000000000005</v>
      </c>
      <c r="AO130" s="202" t="s">
        <v>4864</v>
      </c>
      <c r="AP130" s="202" t="s">
        <v>758</v>
      </c>
      <c r="AQ130" s="202" t="s">
        <v>4866</v>
      </c>
      <c r="AR130" s="202">
        <v>9809</v>
      </c>
      <c r="AS130" s="598">
        <f>AR130/SUM($AR$129:$AR$130)</f>
        <v>0.19899780897508723</v>
      </c>
      <c r="AU130" s="1035" t="s">
        <v>4880</v>
      </c>
    </row>
    <row r="131" spans="37:49" x14ac:dyDescent="0.25">
      <c r="AK131" s="64" t="s">
        <v>1009</v>
      </c>
      <c r="AL131" s="845">
        <f t="shared" si="61"/>
        <v>0.19900000000000001</v>
      </c>
      <c r="AO131" t="s">
        <v>4867</v>
      </c>
      <c r="AP131" t="s">
        <v>247</v>
      </c>
      <c r="AQ131" t="s">
        <v>883</v>
      </c>
      <c r="AR131">
        <v>22193</v>
      </c>
      <c r="AS131" s="85">
        <f>AR131/SUM($AR$131:$AR$132)</f>
        <v>0.10503622999777557</v>
      </c>
      <c r="AU131" s="75" t="s">
        <v>4881</v>
      </c>
      <c r="AV131" s="13">
        <v>39483</v>
      </c>
      <c r="AW131" s="85">
        <f>AV131/SUM($AR$129:$AR$130)</f>
        <v>0.80100219102491277</v>
      </c>
    </row>
    <row r="132" spans="37:49" x14ac:dyDescent="0.25">
      <c r="AK132" s="64" t="s">
        <v>4396</v>
      </c>
      <c r="AL132" s="856">
        <v>0</v>
      </c>
      <c r="AO132" s="202" t="s">
        <v>4867</v>
      </c>
      <c r="AP132" s="202" t="s">
        <v>247</v>
      </c>
      <c r="AQ132" s="202" t="s">
        <v>884</v>
      </c>
      <c r="AR132" s="202">
        <v>189096</v>
      </c>
      <c r="AS132" s="598">
        <f>AR132/SUM($AR$131:$AR$132)</f>
        <v>0.89496377000222449</v>
      </c>
      <c r="AU132" s="288" t="s">
        <v>4882</v>
      </c>
      <c r="AV132" s="20">
        <v>9809</v>
      </c>
      <c r="AW132" s="598">
        <f>AV132/SUM($AR$129:$AR$130)</f>
        <v>0.19899780897508723</v>
      </c>
    </row>
    <row r="133" spans="37:49" x14ac:dyDescent="0.25">
      <c r="AK133" s="64" t="s">
        <v>1020</v>
      </c>
      <c r="AL133" s="845">
        <f>ROUND(AS131, 3)</f>
        <v>0.105</v>
      </c>
      <c r="AO133" t="s">
        <v>4867</v>
      </c>
      <c r="AP133" t="s">
        <v>758</v>
      </c>
      <c r="AQ133" t="s">
        <v>4865</v>
      </c>
      <c r="AR133">
        <v>116798</v>
      </c>
      <c r="AS133" s="85">
        <f>AR133/SUM($AR$133:$AR$134)</f>
        <v>0.8568305529879543</v>
      </c>
      <c r="AU133" t="s">
        <v>4883</v>
      </c>
    </row>
    <row r="134" spans="37:49" x14ac:dyDescent="0.25">
      <c r="AK134" s="64" t="s">
        <v>1021</v>
      </c>
      <c r="AL134" s="845">
        <f>ROUND(AS132, 3)</f>
        <v>0.89500000000000002</v>
      </c>
      <c r="AO134" t="s">
        <v>4867</v>
      </c>
      <c r="AP134" t="s">
        <v>758</v>
      </c>
      <c r="AQ134" t="s">
        <v>4866</v>
      </c>
      <c r="AR134">
        <v>19516</v>
      </c>
      <c r="AS134" s="85">
        <f>AR134/SUM($AR$133:$AR$134)</f>
        <v>0.14316944701204573</v>
      </c>
      <c r="AU134" s="75" t="s">
        <v>4877</v>
      </c>
      <c r="AV134" s="13">
        <v>22193</v>
      </c>
      <c r="AW134" s="85">
        <f>AV134/SUM($AR$131:$AR$132)</f>
        <v>0.10503622999777557</v>
      </c>
    </row>
    <row r="135" spans="37:49" x14ac:dyDescent="0.25">
      <c r="AK135" s="64" t="s">
        <v>1022</v>
      </c>
      <c r="AL135" s="856">
        <v>0</v>
      </c>
      <c r="AU135" s="288" t="s">
        <v>4878</v>
      </c>
      <c r="AV135" s="20">
        <v>189096</v>
      </c>
      <c r="AW135" s="598">
        <f>AV135/SUM($AR$131:$AR$132)</f>
        <v>0.89496377000222449</v>
      </c>
    </row>
    <row r="136" spans="37:49" x14ac:dyDescent="0.25">
      <c r="AK136" s="64" t="s">
        <v>4391</v>
      </c>
      <c r="AL136" s="845">
        <f>ROUND(AS133, 3)</f>
        <v>0.85699999999999998</v>
      </c>
      <c r="AU136" s="1035" t="s">
        <v>4884</v>
      </c>
    </row>
    <row r="137" spans="37:49" x14ac:dyDescent="0.25">
      <c r="AK137" s="64" t="s">
        <v>1019</v>
      </c>
      <c r="AL137" s="845">
        <f>ROUND(AS134, 3)</f>
        <v>0.14299999999999999</v>
      </c>
      <c r="AU137" s="75" t="s">
        <v>4881</v>
      </c>
      <c r="AV137" s="13">
        <v>116798</v>
      </c>
      <c r="AW137" s="85">
        <f>AV137/SUM($AR$133:$AR$134)</f>
        <v>0.8568305529879543</v>
      </c>
    </row>
    <row r="138" spans="37:49" x14ac:dyDescent="0.25">
      <c r="AK138" s="64" t="s">
        <v>4397</v>
      </c>
      <c r="AL138" s="845">
        <f>AL132</f>
        <v>0</v>
      </c>
      <c r="AU138" s="75" t="s">
        <v>4882</v>
      </c>
      <c r="AV138" s="13">
        <v>19516</v>
      </c>
      <c r="AW138" s="85">
        <f>AV138/SUM($AR$133:$AR$134)</f>
        <v>0.14316944701204573</v>
      </c>
    </row>
    <row r="139" spans="37:49" x14ac:dyDescent="0.25">
      <c r="AK139" s="64" t="s">
        <v>1038</v>
      </c>
      <c r="AL139" s="845">
        <f t="shared" ref="AL139:AL143" si="63">AL133</f>
        <v>0.105</v>
      </c>
    </row>
    <row r="140" spans="37:49" x14ac:dyDescent="0.25">
      <c r="AK140" s="64" t="s">
        <v>1039</v>
      </c>
      <c r="AL140" s="845">
        <f t="shared" si="63"/>
        <v>0.89500000000000002</v>
      </c>
    </row>
    <row r="141" spans="37:49" x14ac:dyDescent="0.25">
      <c r="AK141" s="64" t="s">
        <v>1040</v>
      </c>
      <c r="AL141" s="845">
        <f t="shared" si="63"/>
        <v>0</v>
      </c>
    </row>
    <row r="142" spans="37:49" x14ac:dyDescent="0.25">
      <c r="AK142" s="64" t="s">
        <v>4392</v>
      </c>
      <c r="AL142" s="845">
        <f t="shared" si="63"/>
        <v>0.85699999999999998</v>
      </c>
    </row>
    <row r="143" spans="37:49" ht="15.75" thickBot="1" x14ac:dyDescent="0.3">
      <c r="AK143" s="67" t="s">
        <v>1037</v>
      </c>
      <c r="AL143" s="847">
        <f t="shared" si="63"/>
        <v>0.14299999999999999</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4597</v>
      </c>
      <c r="B1" s="28"/>
      <c r="C1" s="28"/>
      <c r="D1" s="28"/>
      <c r="G1" s="28" t="s">
        <v>4605</v>
      </c>
      <c r="H1" s="28"/>
      <c r="I1" s="28"/>
      <c r="J1" s="28"/>
      <c r="R1" s="28" t="s">
        <v>4601</v>
      </c>
      <c r="S1" s="28"/>
      <c r="T1" s="28"/>
      <c r="U1" s="28"/>
      <c r="X1" s="28" t="s">
        <v>4603</v>
      </c>
      <c r="Y1" s="28"/>
      <c r="Z1" s="28"/>
      <c r="AA1" s="28"/>
    </row>
    <row r="2" spans="1:43" s="906" customFormat="1" ht="30.75" thickBot="1" x14ac:dyDescent="0.3">
      <c r="A2" s="906" t="s">
        <v>1502</v>
      </c>
      <c r="B2" s="906" t="s">
        <v>4595</v>
      </c>
      <c r="C2" s="906" t="s">
        <v>4594</v>
      </c>
      <c r="D2" s="906" t="s">
        <v>4596</v>
      </c>
      <c r="G2" s="758" t="s">
        <v>1502</v>
      </c>
      <c r="H2" s="758" t="s">
        <v>4595</v>
      </c>
      <c r="I2" s="758" t="s">
        <v>4594</v>
      </c>
      <c r="J2" s="758" t="s">
        <v>4593</v>
      </c>
      <c r="R2" s="758" t="s">
        <v>1502</v>
      </c>
      <c r="S2" s="758" t="s">
        <v>4595</v>
      </c>
      <c r="T2" s="758" t="s">
        <v>4594</v>
      </c>
      <c r="U2" s="758" t="s">
        <v>4600</v>
      </c>
      <c r="V2" s="758" t="s">
        <v>4607</v>
      </c>
      <c r="X2" s="758" t="s">
        <v>1502</v>
      </c>
      <c r="Y2" s="758" t="s">
        <v>4595</v>
      </c>
      <c r="Z2" s="758" t="s">
        <v>4594</v>
      </c>
      <c r="AA2" s="758" t="s">
        <v>4600</v>
      </c>
      <c r="AB2" s="758" t="s">
        <v>4608</v>
      </c>
      <c r="AD2" s="906" t="s">
        <v>4808</v>
      </c>
      <c r="AE2" s="906" t="s">
        <v>4809</v>
      </c>
      <c r="AF2" s="906" t="s">
        <v>4810</v>
      </c>
      <c r="AG2" s="906" t="s">
        <v>4811</v>
      </c>
      <c r="AH2" s="906" t="s">
        <v>4812</v>
      </c>
      <c r="AI2" s="906" t="s">
        <v>4813</v>
      </c>
      <c r="AJ2" s="906" t="s">
        <v>4814</v>
      </c>
      <c r="AK2" s="906" t="s">
        <v>4815</v>
      </c>
      <c r="AL2" s="906" t="s">
        <v>4816</v>
      </c>
      <c r="AM2" s="906" t="s">
        <v>4817</v>
      </c>
      <c r="AN2" s="28" t="s">
        <v>4821</v>
      </c>
      <c r="AO2" s="28" t="s">
        <v>4822</v>
      </c>
      <c r="AP2" s="28" t="s">
        <v>4823</v>
      </c>
      <c r="AQ2"/>
    </row>
    <row r="3" spans="1:43" s="199" customFormat="1" ht="15.75" thickTop="1" x14ac:dyDescent="0.25">
      <c r="A3" s="199" t="s">
        <v>4599</v>
      </c>
      <c r="C3" s="71">
        <v>40.81691</v>
      </c>
      <c r="G3" s="944" t="s">
        <v>4598</v>
      </c>
      <c r="H3" s="944"/>
      <c r="I3" s="230">
        <v>40.799999999999997</v>
      </c>
      <c r="J3" s="944"/>
      <c r="R3" s="942" t="s">
        <v>4598</v>
      </c>
      <c r="S3" s="942"/>
      <c r="T3" s="943">
        <v>40.81691</v>
      </c>
      <c r="U3" s="943">
        <v>10.1</v>
      </c>
      <c r="V3" s="942"/>
      <c r="X3" s="942" t="s">
        <v>4598</v>
      </c>
      <c r="Y3" s="942"/>
      <c r="Z3" s="943">
        <v>40.81691</v>
      </c>
      <c r="AA3" s="943">
        <v>11.478999999999999</v>
      </c>
      <c r="AB3" s="942"/>
      <c r="AD3" t="s">
        <v>1007</v>
      </c>
      <c r="AE3" t="s">
        <v>17</v>
      </c>
      <c r="AF3" t="s">
        <v>4786</v>
      </c>
      <c r="AG3">
        <v>3070</v>
      </c>
      <c r="AH3">
        <v>96.504725252</v>
      </c>
      <c r="AI3">
        <v>7514.8108588969999</v>
      </c>
      <c r="AJ3" t="s">
        <v>4818</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4786</v>
      </c>
      <c r="AG4">
        <v>3070</v>
      </c>
      <c r="AH4">
        <v>96.504725252</v>
      </c>
      <c r="AI4">
        <v>7514.8108588969999</v>
      </c>
      <c r="AJ4" t="s">
        <v>4818</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4786</v>
      </c>
      <c r="AG5">
        <v>3070</v>
      </c>
      <c r="AH5">
        <v>96.504725252</v>
      </c>
      <c r="AI5">
        <v>7514.8108588969999</v>
      </c>
      <c r="AJ5" t="s">
        <v>4818</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4786</v>
      </c>
      <c r="AG6">
        <v>3070</v>
      </c>
      <c r="AH6">
        <v>96.504725252</v>
      </c>
      <c r="AI6">
        <v>7514.8108588969999</v>
      </c>
      <c r="AJ6" t="s">
        <v>4818</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4818</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4818</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4818</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4818</v>
      </c>
      <c r="AK10">
        <v>0.52981313100000005</v>
      </c>
      <c r="AL10">
        <v>2040</v>
      </c>
      <c r="AM10">
        <v>7487.636143795</v>
      </c>
      <c r="AN10">
        <v>4.0400197567909135E-3</v>
      </c>
      <c r="AO10">
        <v>0.13381687415204158</v>
      </c>
      <c r="AP10">
        <v>0.13381687415204158</v>
      </c>
    </row>
    <row r="11" spans="1:43" x14ac:dyDescent="0.25">
      <c r="AD11" t="s">
        <v>4395</v>
      </c>
      <c r="AE11" t="s">
        <v>17</v>
      </c>
      <c r="AF11" t="s">
        <v>4784</v>
      </c>
      <c r="AG11">
        <v>3070</v>
      </c>
      <c r="AH11">
        <v>59.087369746999997</v>
      </c>
      <c r="AI11">
        <v>7514.8108588969999</v>
      </c>
      <c r="AJ11" t="s">
        <v>4818</v>
      </c>
      <c r="AK11">
        <v>0.52981313100000005</v>
      </c>
      <c r="AL11">
        <v>2025</v>
      </c>
      <c r="AM11">
        <v>316.300483203</v>
      </c>
      <c r="AN11">
        <v>0.51509459007228675</v>
      </c>
      <c r="AO11">
        <v>4.3530980403652055</v>
      </c>
      <c r="AP11">
        <v>4.3530980403652055</v>
      </c>
    </row>
    <row r="12" spans="1:43" x14ac:dyDescent="0.25">
      <c r="AD12" t="s">
        <v>4395</v>
      </c>
      <c r="AE12" t="s">
        <v>17</v>
      </c>
      <c r="AF12" t="s">
        <v>4784</v>
      </c>
      <c r="AG12">
        <v>3070</v>
      </c>
      <c r="AH12">
        <v>59.087369746999997</v>
      </c>
      <c r="AI12">
        <v>7514.8108588969999</v>
      </c>
      <c r="AJ12" t="s">
        <v>4818</v>
      </c>
      <c r="AK12">
        <v>0.52981313100000005</v>
      </c>
      <c r="AL12">
        <v>2030</v>
      </c>
      <c r="AM12">
        <v>2183.7287569119999</v>
      </c>
      <c r="AN12">
        <v>0.42150664611999544</v>
      </c>
      <c r="AO12">
        <v>5.9039690828119733</v>
      </c>
      <c r="AP12">
        <v>5.9039690828119733</v>
      </c>
    </row>
    <row r="13" spans="1:43" x14ac:dyDescent="0.25">
      <c r="AD13" t="s">
        <v>4395</v>
      </c>
      <c r="AE13" t="s">
        <v>17</v>
      </c>
      <c r="AF13" t="s">
        <v>4784</v>
      </c>
      <c r="AG13">
        <v>3070</v>
      </c>
      <c r="AH13">
        <v>59.087369746999997</v>
      </c>
      <c r="AI13">
        <v>7514.8108588969999</v>
      </c>
      <c r="AJ13" t="s">
        <v>4818</v>
      </c>
      <c r="AK13">
        <v>0.52981313100000005</v>
      </c>
      <c r="AL13">
        <v>2035</v>
      </c>
      <c r="AM13">
        <v>6534.5535115780003</v>
      </c>
      <c r="AN13">
        <v>0.11758140150097773</v>
      </c>
      <c r="AO13">
        <v>1.9923833218272411</v>
      </c>
      <c r="AP13">
        <v>1.9923833218272402</v>
      </c>
    </row>
    <row r="14" spans="1:43" x14ac:dyDescent="0.25">
      <c r="AD14" t="s">
        <v>4395</v>
      </c>
      <c r="AE14" t="s">
        <v>17</v>
      </c>
      <c r="AF14" t="s">
        <v>4784</v>
      </c>
      <c r="AG14">
        <v>3070</v>
      </c>
      <c r="AH14">
        <v>59.087369746999997</v>
      </c>
      <c r="AI14">
        <v>7514.8108588969999</v>
      </c>
      <c r="AJ14" t="s">
        <v>4818</v>
      </c>
      <c r="AK14">
        <v>0.52981313100000005</v>
      </c>
      <c r="AL14">
        <v>2040</v>
      </c>
      <c r="AM14">
        <v>7484.9538341320003</v>
      </c>
      <c r="AN14">
        <v>4.4350993863790933E-3</v>
      </c>
      <c r="AO14">
        <v>0.14544227403908616</v>
      </c>
      <c r="AP14">
        <v>0.14544227403908616</v>
      </c>
    </row>
    <row r="15" spans="1:43" x14ac:dyDescent="0.25">
      <c r="AD15" t="s">
        <v>4390</v>
      </c>
      <c r="AE15" t="s">
        <v>17</v>
      </c>
      <c r="AF15" t="s">
        <v>4819</v>
      </c>
      <c r="AG15">
        <v>3070</v>
      </c>
      <c r="AH15">
        <v>25.422725313000001</v>
      </c>
      <c r="AI15">
        <v>7514.8108588969999</v>
      </c>
      <c r="AJ15" t="s">
        <v>4818</v>
      </c>
      <c r="AK15">
        <v>0.52981313100000005</v>
      </c>
      <c r="AL15">
        <v>2025</v>
      </c>
      <c r="AM15">
        <v>137.87458172199999</v>
      </c>
      <c r="AN15">
        <v>0.5234324705207436</v>
      </c>
      <c r="AO15">
        <v>4.4232809435067661</v>
      </c>
      <c r="AP15">
        <v>4.4232809435067661</v>
      </c>
    </row>
    <row r="16" spans="1:43" x14ac:dyDescent="0.25">
      <c r="AD16" t="s">
        <v>4390</v>
      </c>
      <c r="AE16" t="s">
        <v>17</v>
      </c>
      <c r="AF16" t="s">
        <v>4819</v>
      </c>
      <c r="AG16">
        <v>3070</v>
      </c>
      <c r="AH16">
        <v>25.422725313000001</v>
      </c>
      <c r="AI16">
        <v>7514.8108588969999</v>
      </c>
      <c r="AJ16" t="s">
        <v>4818</v>
      </c>
      <c r="AK16">
        <v>0.52981313100000005</v>
      </c>
      <c r="AL16">
        <v>2030</v>
      </c>
      <c r="AM16">
        <v>1059.3249434090001</v>
      </c>
      <c r="AN16">
        <v>0.47932729064055191</v>
      </c>
      <c r="AO16">
        <v>6.6832504597906519</v>
      </c>
      <c r="AP16">
        <v>6.683250459790651</v>
      </c>
    </row>
    <row r="17" spans="1:43" x14ac:dyDescent="0.25">
      <c r="AD17" t="s">
        <v>4390</v>
      </c>
      <c r="AE17" t="s">
        <v>17</v>
      </c>
      <c r="AF17" t="s">
        <v>4819</v>
      </c>
      <c r="AG17">
        <v>3070</v>
      </c>
      <c r="AH17">
        <v>25.422725313000001</v>
      </c>
      <c r="AI17">
        <v>7514.8108588969999</v>
      </c>
      <c r="AJ17" t="s">
        <v>4818</v>
      </c>
      <c r="AK17">
        <v>0.52981313100000005</v>
      </c>
      <c r="AL17">
        <v>2035</v>
      </c>
      <c r="AM17">
        <v>4961.3883505670001</v>
      </c>
      <c r="AN17">
        <v>0.24997527630433325</v>
      </c>
      <c r="AO17">
        <v>3.6835377392330821</v>
      </c>
      <c r="AP17">
        <v>3.6835377392330813</v>
      </c>
    </row>
    <row r="18" spans="1:43" x14ac:dyDescent="0.25">
      <c r="AD18" t="s">
        <v>4390</v>
      </c>
      <c r="AE18" t="s">
        <v>17</v>
      </c>
      <c r="AF18" t="s">
        <v>4819</v>
      </c>
      <c r="AG18">
        <v>3070</v>
      </c>
      <c r="AH18">
        <v>25.422725313000001</v>
      </c>
      <c r="AI18">
        <v>7514.8108588969999</v>
      </c>
      <c r="AJ18" t="s">
        <v>4818</v>
      </c>
      <c r="AK18">
        <v>0.52981313100000005</v>
      </c>
      <c r="AL18">
        <v>2040</v>
      </c>
      <c r="AM18">
        <v>7384.4900129090001</v>
      </c>
      <c r="AN18">
        <v>1.8790144129917197E-2</v>
      </c>
      <c r="AO18">
        <v>0.48839185549042585</v>
      </c>
      <c r="AP18">
        <v>0.48839185549042585</v>
      </c>
    </row>
    <row r="19" spans="1:43" x14ac:dyDescent="0.25">
      <c r="AD19" t="s">
        <v>1006</v>
      </c>
      <c r="AE19" t="s">
        <v>17</v>
      </c>
      <c r="AF19" t="s">
        <v>250</v>
      </c>
      <c r="AG19">
        <v>3070</v>
      </c>
      <c r="AH19">
        <v>4.2727089679999999</v>
      </c>
      <c r="AI19">
        <v>7514.8108588969999</v>
      </c>
      <c r="AJ19" t="s">
        <v>4818</v>
      </c>
      <c r="AK19">
        <v>0.52981313100000005</v>
      </c>
      <c r="AL19">
        <v>2025</v>
      </c>
      <c r="AM19">
        <v>23.363313203000001</v>
      </c>
      <c r="AN19">
        <v>0.52873565768404185</v>
      </c>
      <c r="AO19">
        <v>4.4680328985608551</v>
      </c>
      <c r="AP19">
        <v>4.4680328985608551</v>
      </c>
    </row>
    <row r="20" spans="1:43" x14ac:dyDescent="0.25">
      <c r="AD20" t="s">
        <v>1006</v>
      </c>
      <c r="AE20" t="s">
        <v>17</v>
      </c>
      <c r="AF20" t="s">
        <v>250</v>
      </c>
      <c r="AG20">
        <v>3070</v>
      </c>
      <c r="AH20">
        <v>4.2727089679999999</v>
      </c>
      <c r="AI20">
        <v>7514.8108588969999</v>
      </c>
      <c r="AJ20" t="s">
        <v>4818</v>
      </c>
      <c r="AK20">
        <v>0.52981313100000005</v>
      </c>
      <c r="AL20">
        <v>2030</v>
      </c>
      <c r="AM20">
        <v>192.857471989</v>
      </c>
      <c r="AN20">
        <v>0.52087291134332481</v>
      </c>
      <c r="AO20">
        <v>7.2547141457760294</v>
      </c>
      <c r="AP20">
        <v>7.2547141457760311</v>
      </c>
    </row>
    <row r="21" spans="1:43" x14ac:dyDescent="0.25">
      <c r="AD21" t="s">
        <v>1006</v>
      </c>
      <c r="AE21" t="s">
        <v>17</v>
      </c>
      <c r="AF21" t="s">
        <v>250</v>
      </c>
      <c r="AG21">
        <v>3070</v>
      </c>
      <c r="AH21">
        <v>4.2727089679999999</v>
      </c>
      <c r="AI21">
        <v>7514.8108588969999</v>
      </c>
      <c r="AJ21" t="s">
        <v>4818</v>
      </c>
      <c r="AK21">
        <v>0.52981313100000005</v>
      </c>
      <c r="AL21">
        <v>2035</v>
      </c>
      <c r="AM21">
        <v>1432.847712472</v>
      </c>
      <c r="AN21">
        <v>0.46065269347435778</v>
      </c>
      <c r="AO21">
        <v>6.4295680519639147</v>
      </c>
      <c r="AP21">
        <v>6.4295680519639147</v>
      </c>
    </row>
    <row r="22" spans="1:43" x14ac:dyDescent="0.25">
      <c r="AD22" t="s">
        <v>1006</v>
      </c>
      <c r="AE22" t="s">
        <v>17</v>
      </c>
      <c r="AF22" t="s">
        <v>250</v>
      </c>
      <c r="AG22">
        <v>3070</v>
      </c>
      <c r="AH22">
        <v>4.2727089679999999</v>
      </c>
      <c r="AI22">
        <v>7514.8108588969999</v>
      </c>
      <c r="AJ22" t="s">
        <v>4818</v>
      </c>
      <c r="AK22">
        <v>0.52981313100000005</v>
      </c>
      <c r="AL22">
        <v>2040</v>
      </c>
      <c r="AM22">
        <v>5690.7696749630004</v>
      </c>
      <c r="AN22">
        <v>0.19370538779175939</v>
      </c>
      <c r="AO22">
        <v>2.9716500402859158</v>
      </c>
      <c r="AP22">
        <v>2.9716500402859154</v>
      </c>
    </row>
    <row r="23" spans="1:43" x14ac:dyDescent="0.25">
      <c r="AD23" t="s">
        <v>4420</v>
      </c>
      <c r="AE23" t="s">
        <v>17</v>
      </c>
      <c r="AF23" t="s">
        <v>4820</v>
      </c>
      <c r="AG23">
        <v>3070</v>
      </c>
      <c r="AH23">
        <v>4.2727089679999999</v>
      </c>
      <c r="AI23">
        <v>7514.8108588969999</v>
      </c>
      <c r="AJ23" t="s">
        <v>4818</v>
      </c>
      <c r="AK23">
        <v>0.52981313100000005</v>
      </c>
      <c r="AL23">
        <v>2025</v>
      </c>
      <c r="AM23">
        <v>23.363313203000001</v>
      </c>
      <c r="AN23">
        <v>0.52873565768404185</v>
      </c>
      <c r="AO23">
        <v>4.4680328985608551</v>
      </c>
      <c r="AP23">
        <v>4.4680328985608551</v>
      </c>
    </row>
    <row r="24" spans="1:43" x14ac:dyDescent="0.25">
      <c r="AD24" t="s">
        <v>4420</v>
      </c>
      <c r="AE24" t="s">
        <v>17</v>
      </c>
      <c r="AF24" t="s">
        <v>4820</v>
      </c>
      <c r="AG24">
        <v>3070</v>
      </c>
      <c r="AH24">
        <v>4.2727089679999999</v>
      </c>
      <c r="AI24">
        <v>7514.8108588969999</v>
      </c>
      <c r="AJ24" t="s">
        <v>4818</v>
      </c>
      <c r="AK24">
        <v>0.52981313100000005</v>
      </c>
      <c r="AL24">
        <v>2030</v>
      </c>
      <c r="AM24">
        <v>192.857471989</v>
      </c>
      <c r="AN24">
        <v>0.52087291134332481</v>
      </c>
      <c r="AO24">
        <v>7.2547141457760294</v>
      </c>
      <c r="AP24">
        <v>7.2547141457760311</v>
      </c>
      <c r="AQ24" s="28" t="s">
        <v>4824</v>
      </c>
    </row>
    <row r="25" spans="1:43" x14ac:dyDescent="0.25">
      <c r="AD25" t="s">
        <v>4420</v>
      </c>
      <c r="AE25" t="s">
        <v>17</v>
      </c>
      <c r="AF25" t="s">
        <v>4820</v>
      </c>
      <c r="AG25">
        <v>3070</v>
      </c>
      <c r="AH25">
        <v>4.2727089679999999</v>
      </c>
      <c r="AI25">
        <v>7514.8108588969999</v>
      </c>
      <c r="AJ25" t="s">
        <v>4818</v>
      </c>
      <c r="AK25">
        <v>0.52981313100000005</v>
      </c>
      <c r="AL25">
        <v>2035</v>
      </c>
      <c r="AM25">
        <v>1432.847712472</v>
      </c>
      <c r="AN25">
        <v>0.46065269347435778</v>
      </c>
      <c r="AO25">
        <v>6.4295680519639147</v>
      </c>
      <c r="AP25">
        <v>6.4295680519639147</v>
      </c>
      <c r="AQ25">
        <v>7.3789948141348134</v>
      </c>
    </row>
    <row r="26" spans="1:43" x14ac:dyDescent="0.25">
      <c r="AD26" t="s">
        <v>4420</v>
      </c>
      <c r="AE26" t="s">
        <v>17</v>
      </c>
      <c r="AF26" t="s">
        <v>4820</v>
      </c>
      <c r="AG26">
        <v>3070</v>
      </c>
      <c r="AH26">
        <v>4.2727089679999999</v>
      </c>
      <c r="AI26">
        <v>7514.8108588969999</v>
      </c>
      <c r="AJ26" t="s">
        <v>4818</v>
      </c>
      <c r="AK26">
        <v>0.52981313100000005</v>
      </c>
      <c r="AL26">
        <v>2040</v>
      </c>
      <c r="AM26">
        <v>5690.7696749630004</v>
      </c>
      <c r="AN26">
        <v>0.19370538779175939</v>
      </c>
      <c r="AO26">
        <v>2.9716500402859158</v>
      </c>
      <c r="AP26">
        <v>2.9716500402859154</v>
      </c>
    </row>
    <row r="30" spans="1:43" x14ac:dyDescent="0.25">
      <c r="A30" s="28" t="s">
        <v>4592</v>
      </c>
      <c r="G30" s="28" t="s">
        <v>4591</v>
      </c>
      <c r="R30" s="28" t="s">
        <v>4601</v>
      </c>
      <c r="S30" s="28"/>
      <c r="T30" s="28"/>
      <c r="U30" s="28"/>
      <c r="X30" s="28" t="s">
        <v>4603</v>
      </c>
      <c r="Y30" s="28"/>
      <c r="Z30" s="28"/>
      <c r="AA30" s="28"/>
    </row>
    <row r="31" spans="1:43" ht="30.75" thickBot="1" x14ac:dyDescent="0.3">
      <c r="A31" s="906" t="s">
        <v>1502</v>
      </c>
      <c r="B31" s="906" t="s">
        <v>4589</v>
      </c>
      <c r="C31" s="906" t="s">
        <v>4588</v>
      </c>
      <c r="D31" s="906" t="s">
        <v>4590</v>
      </c>
      <c r="E31" s="906"/>
      <c r="F31" s="906"/>
      <c r="G31" s="758" t="s">
        <v>1502</v>
      </c>
      <c r="H31" s="758" t="s">
        <v>4589</v>
      </c>
      <c r="I31" s="758" t="s">
        <v>4588</v>
      </c>
      <c r="J31" s="758" t="s">
        <v>4587</v>
      </c>
      <c r="R31" s="758" t="s">
        <v>1502</v>
      </c>
      <c r="S31" s="758" t="s">
        <v>4589</v>
      </c>
      <c r="T31" s="758" t="s">
        <v>4588</v>
      </c>
      <c r="U31" s="758" t="s">
        <v>4602</v>
      </c>
      <c r="V31" s="758" t="s">
        <v>4606</v>
      </c>
      <c r="W31" s="906"/>
      <c r="X31" s="758" t="s">
        <v>1502</v>
      </c>
      <c r="Y31" s="758" t="s">
        <v>4589</v>
      </c>
      <c r="Z31" s="758" t="s">
        <v>4588</v>
      </c>
      <c r="AA31" s="758" t="s">
        <v>4602</v>
      </c>
      <c r="AB31" s="758" t="s">
        <v>4609</v>
      </c>
    </row>
    <row r="32" spans="1:43" ht="15.75" thickTop="1" x14ac:dyDescent="0.25">
      <c r="A32" s="199" t="s">
        <v>4599</v>
      </c>
      <c r="B32" s="906"/>
      <c r="C32" s="199">
        <v>0</v>
      </c>
      <c r="D32" s="906"/>
      <c r="E32" s="906"/>
      <c r="F32" s="906"/>
      <c r="G32" s="942" t="s">
        <v>4598</v>
      </c>
      <c r="H32" s="945"/>
      <c r="I32" s="942">
        <v>1</v>
      </c>
      <c r="J32" s="945"/>
      <c r="R32" s="942" t="s">
        <v>4598</v>
      </c>
      <c r="S32" s="942"/>
      <c r="T32" s="943">
        <v>1</v>
      </c>
      <c r="U32" s="943">
        <v>0.5</v>
      </c>
      <c r="V32" s="942"/>
      <c r="W32" s="71"/>
      <c r="X32" s="942" t="s">
        <v>4598</v>
      </c>
      <c r="Y32" s="942"/>
      <c r="Z32" s="943">
        <v>1</v>
      </c>
      <c r="AA32" s="943">
        <v>0.5</v>
      </c>
      <c r="AB32" s="942"/>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6">
        <f t="shared" ref="I35:I38" si="6">I34*(1+J35) + $I$32</f>
        <v>1</v>
      </c>
      <c r="J35" s="947">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N92"/>
  <sheetViews>
    <sheetView workbookViewId="0">
      <selection activeCell="P9" sqref="P9"/>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7" customWidth="1"/>
    <col min="18" max="21" width="4.42578125" style="377" customWidth="1"/>
    <col min="23" max="23" width="1.85546875" style="51" customWidth="1"/>
    <col min="25" max="25" width="41" customWidth="1"/>
    <col min="26" max="26" width="12" bestFit="1" customWidth="1"/>
    <col min="33" max="33" width="12" customWidth="1"/>
    <col min="34" max="34" width="31.5703125" customWidth="1"/>
    <col min="35" max="39" width="12.28515625" bestFit="1" customWidth="1"/>
    <col min="40" max="44" width="10.5703125" bestFit="1" customWidth="1"/>
    <col min="45" max="45" width="21.28515625" customWidth="1"/>
    <col min="46" max="48" width="10.5703125" bestFit="1" customWidth="1"/>
    <col min="49" max="50" width="12" bestFit="1" customWidth="1"/>
    <col min="51" max="53" width="10.5703125" bestFit="1" customWidth="1"/>
    <col min="54" max="54" width="12" bestFit="1" customWidth="1"/>
    <col min="55" max="55" width="9.5703125" bestFit="1" customWidth="1"/>
    <col min="56" max="56" width="10.5703125" bestFit="1" customWidth="1"/>
    <col min="57" max="58" width="12" bestFit="1" customWidth="1"/>
  </cols>
  <sheetData>
    <row r="1" spans="1:40" ht="15.6" customHeight="1" x14ac:dyDescent="0.25">
      <c r="F1" s="1056" t="s">
        <v>4253</v>
      </c>
      <c r="G1" s="1063" t="s">
        <v>4351</v>
      </c>
      <c r="H1" s="1061" t="s">
        <v>4248</v>
      </c>
      <c r="I1" s="1058" t="s">
        <v>1324</v>
      </c>
      <c r="J1" s="1059"/>
      <c r="K1" s="1059"/>
      <c r="L1" s="1059"/>
      <c r="M1" s="1059"/>
      <c r="N1" s="1059"/>
      <c r="O1" s="1060"/>
      <c r="P1" s="1"/>
      <c r="Q1" s="1039" t="s">
        <v>147</v>
      </c>
      <c r="R1" s="1039"/>
      <c r="S1" s="1039"/>
      <c r="T1" s="1039"/>
      <c r="U1" s="1039"/>
      <c r="V1" s="1044" t="s">
        <v>2640</v>
      </c>
      <c r="X1" s="1044" t="s">
        <v>2641</v>
      </c>
      <c r="Y1" s="159" t="s">
        <v>1501</v>
      </c>
      <c r="Z1" s="28"/>
      <c r="AA1" s="28"/>
      <c r="AB1" s="28"/>
      <c r="AC1" s="28"/>
      <c r="AD1" s="28"/>
      <c r="AE1" s="28"/>
      <c r="AF1" s="28"/>
    </row>
    <row r="2" spans="1:40" s="106" customFormat="1" ht="113.25" thickBot="1" x14ac:dyDescent="0.3">
      <c r="A2" s="724" t="s">
        <v>2024</v>
      </c>
      <c r="B2" s="724" t="s">
        <v>93</v>
      </c>
      <c r="C2" s="724" t="s">
        <v>179</v>
      </c>
      <c r="D2" s="724" t="s">
        <v>143</v>
      </c>
      <c r="E2" s="724" t="s">
        <v>94</v>
      </c>
      <c r="F2" s="1057"/>
      <c r="G2" s="1064"/>
      <c r="H2" s="1062"/>
      <c r="I2" s="726">
        <v>2021</v>
      </c>
      <c r="J2" s="724">
        <v>2025</v>
      </c>
      <c r="K2" s="724">
        <v>2030</v>
      </c>
      <c r="L2" s="724">
        <v>2035</v>
      </c>
      <c r="M2" s="724">
        <v>2040</v>
      </c>
      <c r="N2" s="724">
        <v>2045</v>
      </c>
      <c r="O2" s="725">
        <v>2050</v>
      </c>
      <c r="P2" s="724" t="s">
        <v>91</v>
      </c>
      <c r="Q2" s="727" t="s">
        <v>148</v>
      </c>
      <c r="R2" s="722" t="s">
        <v>152</v>
      </c>
      <c r="S2" s="722" t="s">
        <v>149</v>
      </c>
      <c r="T2" s="722" t="s">
        <v>150</v>
      </c>
      <c r="U2" s="722" t="s">
        <v>151</v>
      </c>
      <c r="V2" s="1044"/>
      <c r="W2" s="735"/>
      <c r="X2" s="1044"/>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2038</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AW31</f>
        <v>117.6630821380305</v>
      </c>
      <c r="K3" s="59">
        <f t="shared" ref="K3:O3" si="0">AX31</f>
        <v>115.05594473971129</v>
      </c>
      <c r="L3" s="59">
        <f t="shared" si="0"/>
        <v>112.5065753795074</v>
      </c>
      <c r="M3" s="59">
        <f t="shared" si="0"/>
        <v>110.01369405344595</v>
      </c>
      <c r="N3" s="59">
        <f t="shared" si="0"/>
        <v>107.57604911943415</v>
      </c>
      <c r="O3" s="59">
        <f t="shared" si="0"/>
        <v>105.19241666882668</v>
      </c>
      <c r="P3" t="s">
        <v>4893</v>
      </c>
      <c r="Q3" s="717">
        <v>2</v>
      </c>
      <c r="R3" s="377">
        <v>1</v>
      </c>
      <c r="S3" s="377">
        <v>1</v>
      </c>
      <c r="T3" s="377">
        <v>1</v>
      </c>
      <c r="U3" s="377">
        <v>1</v>
      </c>
      <c r="V3" s="1044"/>
      <c r="X3" s="1044"/>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4311</v>
      </c>
      <c r="AI3">
        <v>1.1492496361831646</v>
      </c>
      <c r="AJ3">
        <v>1.2586999970410462</v>
      </c>
      <c r="AK3">
        <v>1.352935954787184</v>
      </c>
      <c r="AL3">
        <v>1.4633937049600139</v>
      </c>
      <c r="AM3">
        <v>1.5819226744639585</v>
      </c>
      <c r="AN3">
        <v>1.6989990665845334</v>
      </c>
    </row>
    <row r="4" spans="1:40" x14ac:dyDescent="0.25">
      <c r="A4" t="s">
        <v>2039</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AW32</f>
        <v>146.72956607795993</v>
      </c>
      <c r="K4" s="59">
        <f t="shared" ref="K4:O4" si="2">AX32</f>
        <v>179.24277677745019</v>
      </c>
      <c r="L4" s="59">
        <f t="shared" si="2"/>
        <v>204.50031533876614</v>
      </c>
      <c r="M4" s="59">
        <f t="shared" si="2"/>
        <v>229.83131857440884</v>
      </c>
      <c r="N4" s="59">
        <f t="shared" si="2"/>
        <v>254.77142229967561</v>
      </c>
      <c r="O4" s="59">
        <f t="shared" si="2"/>
        <v>282.80774246378803</v>
      </c>
      <c r="P4" t="s">
        <v>4894</v>
      </c>
      <c r="Q4" s="717">
        <v>2</v>
      </c>
      <c r="R4" s="377">
        <v>1</v>
      </c>
      <c r="S4" s="377">
        <v>1</v>
      </c>
      <c r="T4" s="377">
        <v>1</v>
      </c>
      <c r="U4" s="377">
        <v>1</v>
      </c>
      <c r="V4" s="1044"/>
      <c r="X4" s="1044"/>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4312</v>
      </c>
      <c r="AI4">
        <v>1.1447843976029033</v>
      </c>
      <c r="AJ4">
        <v>1.274273649061896</v>
      </c>
      <c r="AK4">
        <v>1.3725969495582206</v>
      </c>
      <c r="AL4">
        <v>1.4714829277011647</v>
      </c>
      <c r="AM4">
        <v>1.5689155299529738</v>
      </c>
      <c r="AN4">
        <v>1.6799881972497195</v>
      </c>
    </row>
    <row r="5" spans="1:40" x14ac:dyDescent="0.25">
      <c r="A5" t="s">
        <v>2040</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ref="J5:J16" si="3">$F5*Z$31</f>
        <v>14.286955067214194</v>
      </c>
      <c r="K5" s="59">
        <f t="shared" ref="K5:K17" si="4">$F5*AA$31</f>
        <v>15.902986104285986</v>
      </c>
      <c r="L5" s="59">
        <f t="shared" ref="L5:L17" si="5">$F5*AB$31</f>
        <v>17.130064826875689</v>
      </c>
      <c r="M5" s="59">
        <f t="shared" ref="M5:M17" si="6">$F5*AC$31</f>
        <v>18.364165788999234</v>
      </c>
      <c r="N5" s="59">
        <f t="shared" ref="N5:N17" si="7">$F5*AD$31</f>
        <v>19.580128561874304</v>
      </c>
      <c r="O5" s="920">
        <f t="shared" ref="O5:O17" si="8">$F5*AE$31</f>
        <v>20.966319892038374</v>
      </c>
      <c r="P5" t="s">
        <v>4484</v>
      </c>
      <c r="Q5" s="717">
        <v>2</v>
      </c>
      <c r="R5" s="377">
        <v>1</v>
      </c>
      <c r="S5" s="377">
        <v>1</v>
      </c>
      <c r="T5" s="377">
        <v>1</v>
      </c>
      <c r="U5" s="377">
        <v>1</v>
      </c>
      <c r="V5" s="1044"/>
      <c r="X5" s="1044"/>
      <c r="AH5" t="s">
        <v>4313</v>
      </c>
      <c r="AI5">
        <v>1.1801427026306137</v>
      </c>
      <c r="AJ5">
        <v>1.2855283054882298</v>
      </c>
      <c r="AK5">
        <v>1.4221444580272304</v>
      </c>
      <c r="AL5">
        <v>1.5485240862404683</v>
      </c>
      <c r="AM5">
        <v>1.6750771108121567</v>
      </c>
      <c r="AN5">
        <v>1.7954273884083201</v>
      </c>
    </row>
    <row r="6" spans="1:40" ht="15.75" x14ac:dyDescent="0.25">
      <c r="A6" t="s">
        <v>2041</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3"/>
        <v>11.807512718447132</v>
      </c>
      <c r="K6" s="59">
        <f t="shared" si="4"/>
        <v>13.143088209086031</v>
      </c>
      <c r="L6" s="59">
        <f t="shared" si="5"/>
        <v>14.157212461269244</v>
      </c>
      <c r="M6" s="59">
        <f t="shared" si="6"/>
        <v>15.177140272168627</v>
      </c>
      <c r="N6" s="59">
        <f t="shared" si="7"/>
        <v>16.182077702036263</v>
      </c>
      <c r="O6" s="920">
        <f t="shared" si="8"/>
        <v>17.327701222521295</v>
      </c>
      <c r="P6" t="s">
        <v>4484</v>
      </c>
      <c r="Q6" s="717">
        <v>2</v>
      </c>
      <c r="R6" s="377">
        <v>1</v>
      </c>
      <c r="S6" s="377">
        <v>1</v>
      </c>
      <c r="T6" s="377">
        <v>1</v>
      </c>
      <c r="U6" s="377">
        <v>1</v>
      </c>
      <c r="V6" s="1044"/>
      <c r="X6" s="1044"/>
      <c r="Y6" s="159" t="s">
        <v>4341</v>
      </c>
      <c r="Z6" s="28"/>
      <c r="AA6" s="28"/>
      <c r="AB6" s="28"/>
      <c r="AC6" s="28"/>
      <c r="AD6" s="28"/>
      <c r="AE6" s="28"/>
      <c r="AF6" s="28"/>
    </row>
    <row r="7" spans="1:40" ht="15.75" thickBot="1" x14ac:dyDescent="0.3">
      <c r="A7" t="s">
        <v>2042</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3"/>
        <v>98.864968730656543</v>
      </c>
      <c r="K7" s="59">
        <f t="shared" si="4"/>
        <v>110.04781750397647</v>
      </c>
      <c r="L7" s="59">
        <f t="shared" si="5"/>
        <v>118.53913696065199</v>
      </c>
      <c r="M7" s="59">
        <f t="shared" si="6"/>
        <v>127.07904994118663</v>
      </c>
      <c r="N7" s="59">
        <f t="shared" si="7"/>
        <v>135.49344761741429</v>
      </c>
      <c r="O7" s="920">
        <f t="shared" si="8"/>
        <v>145.08581785072394</v>
      </c>
      <c r="P7" t="s">
        <v>4484</v>
      </c>
      <c r="Q7" s="717">
        <v>2</v>
      </c>
      <c r="R7" s="377">
        <v>1</v>
      </c>
      <c r="S7" s="377">
        <v>1</v>
      </c>
      <c r="T7" s="377">
        <v>1</v>
      </c>
      <c r="U7" s="377">
        <v>1</v>
      </c>
      <c r="V7" s="1044"/>
      <c r="X7" s="1044"/>
      <c r="Y7" s="281" t="s">
        <v>1322</v>
      </c>
      <c r="Z7" s="88">
        <v>2025</v>
      </c>
      <c r="AA7" s="88">
        <v>2030</v>
      </c>
      <c r="AB7" s="88">
        <v>2035</v>
      </c>
      <c r="AC7" s="88">
        <v>2040</v>
      </c>
      <c r="AD7" s="88">
        <v>2045</v>
      </c>
      <c r="AE7" s="88">
        <v>2050</v>
      </c>
    </row>
    <row r="8" spans="1:40" ht="15.75" thickTop="1" x14ac:dyDescent="0.25">
      <c r="A8" t="s">
        <v>2043</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3"/>
        <v>1.3130538435342591</v>
      </c>
      <c r="K8" s="59">
        <f t="shared" si="4"/>
        <v>1.4615764471621802</v>
      </c>
      <c r="L8" s="59">
        <f t="shared" si="5"/>
        <v>1.5743520823787391</v>
      </c>
      <c r="M8" s="59">
        <f t="shared" si="6"/>
        <v>1.6877731020433315</v>
      </c>
      <c r="N8" s="59">
        <f t="shared" si="7"/>
        <v>1.7995271171575902</v>
      </c>
      <c r="O8" s="920">
        <f t="shared" si="8"/>
        <v>1.9269261217308371</v>
      </c>
      <c r="P8" t="s">
        <v>4484</v>
      </c>
      <c r="Q8" s="717">
        <v>2</v>
      </c>
      <c r="R8" s="377">
        <v>1</v>
      </c>
      <c r="S8" s="377">
        <v>1</v>
      </c>
      <c r="T8" s="377">
        <v>1</v>
      </c>
      <c r="U8" s="377">
        <v>1</v>
      </c>
      <c r="V8" s="1044"/>
      <c r="X8" s="1044"/>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2044</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3"/>
        <v>10.583200824474467</v>
      </c>
      <c r="K9" s="59">
        <f t="shared" si="4"/>
        <v>11.780291521789117</v>
      </c>
      <c r="L9" s="59">
        <f t="shared" si="5"/>
        <v>12.689262011827806</v>
      </c>
      <c r="M9" s="59">
        <f t="shared" si="6"/>
        <v>13.603434294052065</v>
      </c>
      <c r="N9" s="59">
        <f t="shared" si="7"/>
        <v>14.504170536300988</v>
      </c>
      <c r="O9" s="920">
        <f t="shared" si="8"/>
        <v>15.531005236855014</v>
      </c>
      <c r="P9" t="s">
        <v>4484</v>
      </c>
      <c r="Q9" s="717">
        <v>2</v>
      </c>
      <c r="R9" s="377">
        <v>1</v>
      </c>
      <c r="S9" s="377">
        <v>1</v>
      </c>
      <c r="T9" s="377">
        <v>1</v>
      </c>
      <c r="U9" s="377">
        <v>1</v>
      </c>
      <c r="V9" s="1044"/>
      <c r="X9" s="1044"/>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2045</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3"/>
        <v>8.0862422169357249</v>
      </c>
      <c r="K10" s="59">
        <f t="shared" si="4"/>
        <v>9.0008960626551673</v>
      </c>
      <c r="L10" s="59">
        <f t="shared" si="5"/>
        <v>9.695407644964158</v>
      </c>
      <c r="M10" s="59">
        <f t="shared" si="6"/>
        <v>10.393893729153284</v>
      </c>
      <c r="N10" s="59">
        <f t="shared" si="7"/>
        <v>11.082113819577483</v>
      </c>
      <c r="O10" s="920">
        <f t="shared" si="8"/>
        <v>11.86668119604006</v>
      </c>
      <c r="P10" t="s">
        <v>4484</v>
      </c>
      <c r="Q10" s="717">
        <v>2</v>
      </c>
      <c r="R10" s="377">
        <v>1</v>
      </c>
      <c r="S10" s="377">
        <v>1</v>
      </c>
      <c r="T10" s="377">
        <v>1</v>
      </c>
      <c r="U10" s="377">
        <v>1</v>
      </c>
      <c r="V10" s="1044"/>
      <c r="X10" s="1044"/>
    </row>
    <row r="11" spans="1:40" ht="15.75" x14ac:dyDescent="0.25">
      <c r="A11" t="s">
        <v>2046</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3"/>
        <v>1.9766041433237416</v>
      </c>
      <c r="K11" s="59">
        <f t="shared" si="4"/>
        <v>2.2001824795464167</v>
      </c>
      <c r="L11" s="59">
        <f t="shared" si="5"/>
        <v>2.3699491566196262</v>
      </c>
      <c r="M11" s="59">
        <f t="shared" si="6"/>
        <v>2.5406873624540527</v>
      </c>
      <c r="N11" s="59">
        <f t="shared" si="7"/>
        <v>2.7089161448422474</v>
      </c>
      <c r="O11" s="920">
        <f t="shared" si="8"/>
        <v>2.9006960947161993</v>
      </c>
      <c r="P11" t="s">
        <v>4484</v>
      </c>
      <c r="Q11" s="717">
        <v>2</v>
      </c>
      <c r="R11" s="377">
        <v>1</v>
      </c>
      <c r="S11" s="377">
        <v>1</v>
      </c>
      <c r="T11" s="377">
        <v>1</v>
      </c>
      <c r="U11" s="377">
        <v>1</v>
      </c>
      <c r="V11" s="1044"/>
      <c r="X11" s="1044"/>
      <c r="Y11" s="818" t="s">
        <v>4310</v>
      </c>
    </row>
    <row r="12" spans="1:40" ht="15.75" thickBot="1" x14ac:dyDescent="0.3">
      <c r="A12" t="s">
        <v>2047</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3"/>
        <v>76.34412132380416</v>
      </c>
      <c r="K12" s="59">
        <f t="shared" si="4"/>
        <v>84.979584162233792</v>
      </c>
      <c r="L12" s="59">
        <f t="shared" si="5"/>
        <v>91.536631932771314</v>
      </c>
      <c r="M12" s="59">
        <f t="shared" si="6"/>
        <v>98.131203913640206</v>
      </c>
      <c r="N12" s="59">
        <f t="shared" si="7"/>
        <v>104.62885222434529</v>
      </c>
      <c r="O12" s="920">
        <f t="shared" si="8"/>
        <v>112.03613800288777</v>
      </c>
      <c r="P12" t="s">
        <v>4485</v>
      </c>
      <c r="Q12" s="717">
        <v>2</v>
      </c>
      <c r="R12" s="377">
        <v>1</v>
      </c>
      <c r="S12" s="377">
        <v>1</v>
      </c>
      <c r="T12" s="377">
        <v>2</v>
      </c>
      <c r="U12" s="377">
        <v>1</v>
      </c>
      <c r="V12" s="1044"/>
      <c r="X12" s="1044"/>
      <c r="Y12" s="88" t="s">
        <v>4309</v>
      </c>
      <c r="Z12" s="904">
        <v>2019</v>
      </c>
      <c r="AA12" s="877" t="s">
        <v>1311</v>
      </c>
      <c r="AB12" s="877" t="s">
        <v>2852</v>
      </c>
      <c r="AC12" s="877" t="s">
        <v>1312</v>
      </c>
      <c r="AD12" s="877" t="s">
        <v>1313</v>
      </c>
      <c r="AE12" s="877" t="s">
        <v>1314</v>
      </c>
      <c r="AF12" s="877" t="s">
        <v>1315</v>
      </c>
      <c r="AG12" s="877" t="s">
        <v>1316</v>
      </c>
      <c r="AH12" s="877" t="s">
        <v>1317</v>
      </c>
    </row>
    <row r="13" spans="1:40" ht="15.75" thickTop="1" x14ac:dyDescent="0.25">
      <c r="A13" t="s">
        <v>2048</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3"/>
        <v>1.036299585818331</v>
      </c>
      <c r="K13" s="59">
        <f t="shared" si="4"/>
        <v>1.153517865466327</v>
      </c>
      <c r="L13" s="59">
        <f t="shared" si="5"/>
        <v>1.2425236169370737</v>
      </c>
      <c r="M13" s="59">
        <f t="shared" si="6"/>
        <v>1.3320387242423006</v>
      </c>
      <c r="N13" s="59">
        <f t="shared" si="7"/>
        <v>1.4202381839573128</v>
      </c>
      <c r="O13" s="920">
        <f t="shared" si="8"/>
        <v>1.5207851160751646</v>
      </c>
      <c r="P13" t="s">
        <v>4485</v>
      </c>
      <c r="Q13" s="717">
        <v>2</v>
      </c>
      <c r="R13" s="377">
        <v>1</v>
      </c>
      <c r="S13" s="377">
        <v>1</v>
      </c>
      <c r="T13" s="377">
        <v>2</v>
      </c>
      <c r="U13" s="377">
        <v>1</v>
      </c>
      <c r="V13" s="1044"/>
      <c r="X13" s="1044"/>
      <c r="Y13" t="s">
        <v>1318</v>
      </c>
      <c r="Z13">
        <v>2109991</v>
      </c>
      <c r="AA13">
        <v>2002923</v>
      </c>
      <c r="AB13">
        <v>2103305</v>
      </c>
      <c r="AC13">
        <v>2292915</v>
      </c>
      <c r="AD13">
        <v>2552272</v>
      </c>
      <c r="AE13">
        <v>2749206</v>
      </c>
      <c r="AF13">
        <v>2947267</v>
      </c>
      <c r="AG13">
        <v>3142417</v>
      </c>
      <c r="AH13">
        <v>3364887</v>
      </c>
    </row>
    <row r="14" spans="1:40" x14ac:dyDescent="0.25">
      <c r="A14" t="s">
        <v>2049</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3"/>
        <v>0.349576465825089</v>
      </c>
      <c r="K14" s="59">
        <f t="shared" si="4"/>
        <v>0.38911788076938375</v>
      </c>
      <c r="L14" s="59">
        <f t="shared" si="5"/>
        <v>0.41914232202464097</v>
      </c>
      <c r="M14" s="59">
        <f t="shared" si="6"/>
        <v>0.44933858503385982</v>
      </c>
      <c r="N14" s="59">
        <f t="shared" si="7"/>
        <v>0.4790910387034315</v>
      </c>
      <c r="O14" s="920">
        <f t="shared" si="8"/>
        <v>0.5130086834273343</v>
      </c>
      <c r="P14" t="s">
        <v>4485</v>
      </c>
      <c r="Q14" s="717">
        <v>2</v>
      </c>
      <c r="R14" s="377">
        <v>1</v>
      </c>
      <c r="S14" s="377">
        <v>1</v>
      </c>
      <c r="T14" s="377">
        <v>2</v>
      </c>
      <c r="U14" s="377">
        <v>1</v>
      </c>
      <c r="V14" s="1044"/>
      <c r="X14" s="1044"/>
      <c r="Y14" t="s">
        <v>1319</v>
      </c>
      <c r="Z14">
        <v>37601.199999999997</v>
      </c>
      <c r="AA14">
        <v>38007.199999999997</v>
      </c>
      <c r="AB14">
        <v>38226.5</v>
      </c>
      <c r="AC14">
        <v>40909.9</v>
      </c>
      <c r="AD14">
        <v>43353.599999999999</v>
      </c>
      <c r="AE14">
        <v>45341.8</v>
      </c>
      <c r="AF14">
        <v>46928.7</v>
      </c>
      <c r="AG14">
        <v>48323.3</v>
      </c>
      <c r="AH14">
        <v>49635.1</v>
      </c>
    </row>
    <row r="15" spans="1:40" x14ac:dyDescent="0.25">
      <c r="A15" t="s">
        <v>2050</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3"/>
        <v>98.901559147017309</v>
      </c>
      <c r="K15" s="59">
        <f t="shared" si="4"/>
        <v>110.08854674825544</v>
      </c>
      <c r="L15" s="59">
        <f t="shared" si="5"/>
        <v>118.58300888447015</v>
      </c>
      <c r="M15" s="59">
        <f t="shared" si="6"/>
        <v>127.12608252924869</v>
      </c>
      <c r="N15" s="59">
        <f t="shared" si="7"/>
        <v>135.54359441588227</v>
      </c>
      <c r="O15" s="920">
        <f t="shared" si="8"/>
        <v>145.13951483309657</v>
      </c>
      <c r="P15" t="s">
        <v>4485</v>
      </c>
      <c r="Q15" s="717">
        <v>2</v>
      </c>
      <c r="R15" s="377">
        <v>1</v>
      </c>
      <c r="S15" s="377">
        <v>1</v>
      </c>
      <c r="T15" s="377">
        <v>2</v>
      </c>
      <c r="U15" s="377">
        <v>1</v>
      </c>
      <c r="V15" s="1044"/>
      <c r="X15" s="1044"/>
      <c r="Y15" t="s">
        <v>4308</v>
      </c>
      <c r="Z15">
        <v>109.6</v>
      </c>
      <c r="AA15">
        <v>110.3</v>
      </c>
      <c r="AB15">
        <v>119.3</v>
      </c>
      <c r="AC15">
        <v>138.4</v>
      </c>
      <c r="AD15">
        <v>154.6</v>
      </c>
      <c r="AE15">
        <v>170.5</v>
      </c>
      <c r="AF15">
        <v>187.6</v>
      </c>
      <c r="AG15">
        <v>206.4</v>
      </c>
      <c r="AH15">
        <v>227.3</v>
      </c>
    </row>
    <row r="16" spans="1:40" x14ac:dyDescent="0.25">
      <c r="A16" t="s">
        <v>2051</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3"/>
        <v>57.560754857645158</v>
      </c>
      <c r="K16" s="59">
        <f t="shared" si="4"/>
        <v>64.071587006946046</v>
      </c>
      <c r="L16" s="59">
        <f t="shared" si="5"/>
        <v>69.015368044243772</v>
      </c>
      <c r="M16" s="59">
        <f t="shared" si="6"/>
        <v>73.987441002840171</v>
      </c>
      <c r="N16" s="59">
        <f t="shared" si="7"/>
        <v>78.886436957975633</v>
      </c>
      <c r="O16" s="920">
        <f t="shared" si="8"/>
        <v>84.471267243084469</v>
      </c>
      <c r="P16" t="s">
        <v>4485</v>
      </c>
      <c r="Q16" s="717">
        <v>2</v>
      </c>
      <c r="R16" s="377">
        <v>1</v>
      </c>
      <c r="S16" s="377">
        <v>1</v>
      </c>
      <c r="T16" s="377">
        <v>2</v>
      </c>
      <c r="U16" s="377">
        <v>1</v>
      </c>
      <c r="V16" s="1044"/>
      <c r="X16" s="1044"/>
      <c r="Y16" t="s">
        <v>1321</v>
      </c>
      <c r="Z16">
        <v>136</v>
      </c>
      <c r="AA16">
        <v>137</v>
      </c>
      <c r="AB16">
        <v>141.6</v>
      </c>
      <c r="AC16">
        <v>164.7</v>
      </c>
      <c r="AD16">
        <v>184</v>
      </c>
      <c r="AE16">
        <v>203.1</v>
      </c>
      <c r="AF16">
        <v>223.8</v>
      </c>
      <c r="AG16">
        <v>246.5</v>
      </c>
      <c r="AH16">
        <v>271.2</v>
      </c>
    </row>
    <row r="17" spans="1:54" x14ac:dyDescent="0.25">
      <c r="A17" t="s">
        <v>2052</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4"/>
        <v>56.101838993626039</v>
      </c>
      <c r="L17" s="59">
        <f t="shared" si="5"/>
        <v>60.430672111871573</v>
      </c>
      <c r="M17" s="59">
        <f t="shared" si="6"/>
        <v>64.784277970853907</v>
      </c>
      <c r="N17" s="59">
        <f t="shared" si="7"/>
        <v>69.073896741739659</v>
      </c>
      <c r="O17" s="920">
        <f t="shared" si="8"/>
        <v>73.964040159413003</v>
      </c>
      <c r="P17" t="s">
        <v>4486</v>
      </c>
      <c r="Q17" s="717">
        <v>2</v>
      </c>
      <c r="R17" s="377">
        <v>1</v>
      </c>
      <c r="S17" s="377">
        <v>1</v>
      </c>
      <c r="T17" s="377">
        <v>1</v>
      </c>
      <c r="U17" s="377">
        <v>1</v>
      </c>
      <c r="V17" s="1044"/>
      <c r="X17" s="1044"/>
      <c r="Y17" t="s">
        <v>2849</v>
      </c>
      <c r="Z17">
        <v>1.33</v>
      </c>
      <c r="AA17">
        <v>1.34</v>
      </c>
      <c r="AB17">
        <v>1.25</v>
      </c>
      <c r="AC17">
        <v>1.3</v>
      </c>
      <c r="AD17">
        <v>1.27</v>
      </c>
      <c r="AE17">
        <v>1.27</v>
      </c>
      <c r="AF17">
        <v>1.29</v>
      </c>
      <c r="AG17">
        <v>1.3</v>
      </c>
      <c r="AH17">
        <v>1.28</v>
      </c>
    </row>
    <row r="18" spans="1:54" x14ac:dyDescent="0.25">
      <c r="V18" s="1044"/>
      <c r="X18" s="1044"/>
    </row>
    <row r="19" spans="1:54" ht="15.75" x14ac:dyDescent="0.25">
      <c r="I19" s="245"/>
      <c r="V19" s="1044"/>
      <c r="X19" s="1044"/>
      <c r="Y19" s="159" t="s">
        <v>4381</v>
      </c>
      <c r="Z19" s="28"/>
      <c r="AA19" s="28"/>
      <c r="AB19" s="28"/>
      <c r="AC19" s="28"/>
      <c r="AD19" s="28"/>
      <c r="AE19" s="28"/>
    </row>
    <row r="20" spans="1:54" ht="15.75" thickBot="1" x14ac:dyDescent="0.3">
      <c r="V20" s="1044"/>
      <c r="X20" s="1044"/>
      <c r="Y20" s="281" t="s">
        <v>1322</v>
      </c>
      <c r="Z20" s="88">
        <v>2021</v>
      </c>
      <c r="AA20" s="88">
        <v>2025</v>
      </c>
      <c r="AB20" s="88">
        <v>2030</v>
      </c>
      <c r="AC20" s="88">
        <v>2035</v>
      </c>
      <c r="AD20" s="88">
        <v>2040</v>
      </c>
      <c r="AE20" s="88">
        <v>2045</v>
      </c>
      <c r="AF20" s="88">
        <v>2050</v>
      </c>
    </row>
    <row r="21" spans="1:54" ht="15.75" thickTop="1" x14ac:dyDescent="0.25">
      <c r="V21" s="1044"/>
      <c r="X21" s="1044"/>
      <c r="Y21" t="s">
        <v>1499</v>
      </c>
      <c r="Z21" s="60">
        <f>AB13/$AA13</f>
        <v>1.0501177529041306</v>
      </c>
      <c r="AA21" s="60">
        <f t="shared" ref="AA21:AF21" si="9">AC13/$AA13</f>
        <v>1.1447843976029033</v>
      </c>
      <c r="AB21" s="60">
        <f t="shared" si="9"/>
        <v>1.274273649061896</v>
      </c>
      <c r="AC21" s="60">
        <f t="shared" si="9"/>
        <v>1.3725969495582206</v>
      </c>
      <c r="AD21" s="60">
        <f t="shared" si="9"/>
        <v>1.4714829277011647</v>
      </c>
      <c r="AE21" s="60">
        <f t="shared" si="9"/>
        <v>1.5689155299529738</v>
      </c>
      <c r="AF21" s="60">
        <f t="shared" si="9"/>
        <v>1.6799881972497195</v>
      </c>
    </row>
    <row r="22" spans="1:54" x14ac:dyDescent="0.25">
      <c r="V22" s="1044"/>
      <c r="X22" s="1044"/>
      <c r="Y22" t="s">
        <v>1500</v>
      </c>
      <c r="Z22" s="60">
        <f>AB14/$AA14</f>
        <v>1.0057699593761182</v>
      </c>
      <c r="AA22" s="60">
        <f t="shared" ref="AA22:AF22" si="10">AC14/$AA14</f>
        <v>1.0763723715506537</v>
      </c>
      <c r="AB22" s="60">
        <f t="shared" si="10"/>
        <v>1.14066808394199</v>
      </c>
      <c r="AC22" s="60">
        <f t="shared" si="10"/>
        <v>1.1929792249889497</v>
      </c>
      <c r="AD22" s="60">
        <f t="shared" si="10"/>
        <v>1.2347318402828937</v>
      </c>
      <c r="AE22" s="60">
        <f t="shared" si="10"/>
        <v>1.271424887915974</v>
      </c>
      <c r="AF22" s="60">
        <f t="shared" si="10"/>
        <v>1.3059394009556085</v>
      </c>
    </row>
    <row r="23" spans="1:54" x14ac:dyDescent="0.25">
      <c r="V23" s="1044"/>
      <c r="X23" s="1044"/>
    </row>
    <row r="24" spans="1:54" ht="15.75" x14ac:dyDescent="0.25">
      <c r="V24" s="1044"/>
      <c r="X24" s="1044"/>
      <c r="Y24" s="159" t="s">
        <v>4342</v>
      </c>
      <c r="Z24" s="28"/>
      <c r="AA24" s="28"/>
      <c r="AB24" s="28"/>
      <c r="AC24" s="28"/>
      <c r="AD24" s="28"/>
      <c r="AE24" s="28"/>
    </row>
    <row r="25" spans="1:54" ht="15.75" thickBot="1" x14ac:dyDescent="0.3">
      <c r="V25" s="1044"/>
      <c r="X25" s="1044"/>
      <c r="Y25" s="281" t="s">
        <v>1322</v>
      </c>
      <c r="Z25" s="88">
        <v>2025</v>
      </c>
      <c r="AA25" s="88">
        <v>2030</v>
      </c>
      <c r="AB25" s="88">
        <v>2035</v>
      </c>
      <c r="AC25" s="88">
        <v>2040</v>
      </c>
      <c r="AD25" s="88">
        <v>2045</v>
      </c>
      <c r="AE25" s="88">
        <v>2050</v>
      </c>
    </row>
    <row r="26" spans="1:54" ht="15.75" thickTop="1" x14ac:dyDescent="0.25">
      <c r="V26" s="1044"/>
      <c r="X26" s="1044"/>
      <c r="Y26" t="s">
        <v>1499</v>
      </c>
      <c r="Z26" s="60">
        <f t="shared" ref="Z26:AE27" si="11">AC13/$AB13</f>
        <v>1.0901485994660784</v>
      </c>
      <c r="AA26" s="60">
        <f t="shared" si="11"/>
        <v>1.2134578674990075</v>
      </c>
      <c r="AB26" s="60">
        <f t="shared" si="11"/>
        <v>1.30708860578946</v>
      </c>
      <c r="AC26" s="60">
        <f t="shared" si="11"/>
        <v>1.4012551674626361</v>
      </c>
      <c r="AD26" s="60">
        <f t="shared" si="11"/>
        <v>1.4940377168313679</v>
      </c>
      <c r="AE26" s="60">
        <f t="shared" si="11"/>
        <v>1.599809347669501</v>
      </c>
    </row>
    <row r="27" spans="1:54" x14ac:dyDescent="0.25">
      <c r="V27" s="1044"/>
      <c r="X27" s="1044"/>
      <c r="Y27" t="s">
        <v>1500</v>
      </c>
      <c r="Z27" s="60">
        <f t="shared" si="11"/>
        <v>1.0701973761657488</v>
      </c>
      <c r="AA27" s="60">
        <f t="shared" si="11"/>
        <v>1.134124233189018</v>
      </c>
      <c r="AB27" s="60">
        <f t="shared" si="11"/>
        <v>1.1861352726511714</v>
      </c>
      <c r="AC27" s="60">
        <f t="shared" si="11"/>
        <v>1.2276483591225982</v>
      </c>
      <c r="AD27" s="60">
        <f t="shared" si="11"/>
        <v>1.2641309039540634</v>
      </c>
      <c r="AE27" s="60">
        <f t="shared" si="11"/>
        <v>1.2984474121355605</v>
      </c>
    </row>
    <row r="28" spans="1:54" x14ac:dyDescent="0.25">
      <c r="V28" s="1044"/>
      <c r="X28" s="1044"/>
    </row>
    <row r="29" spans="1:54" ht="15.75" x14ac:dyDescent="0.25">
      <c r="V29" s="1044"/>
      <c r="X29" s="1044"/>
      <c r="Y29" s="159" t="s">
        <v>4382</v>
      </c>
      <c r="Z29" s="28"/>
      <c r="AA29" s="28"/>
      <c r="AB29" s="28"/>
      <c r="AC29" s="28"/>
      <c r="AD29" s="28"/>
      <c r="AE29" s="28"/>
      <c r="AH29" s="28" t="s">
        <v>4890</v>
      </c>
      <c r="AJ29" s="561"/>
      <c r="AK29" s="561"/>
      <c r="AL29" s="561"/>
      <c r="AM29" s="561"/>
      <c r="AN29" s="561"/>
      <c r="AO29" s="561"/>
      <c r="AP29" s="561"/>
      <c r="AQ29" s="561"/>
      <c r="AS29" s="28" t="s">
        <v>4890</v>
      </c>
      <c r="AU29" s="561"/>
      <c r="AV29" s="561"/>
      <c r="AW29" s="561"/>
      <c r="AX29" s="561"/>
      <c r="AY29" s="561"/>
      <c r="AZ29" s="561"/>
      <c r="BA29" s="561"/>
      <c r="BB29" s="561"/>
    </row>
    <row r="30" spans="1:54" ht="15.75" thickBot="1" x14ac:dyDescent="0.3">
      <c r="V30" s="1044"/>
      <c r="X30" s="1044"/>
      <c r="Y30" s="281" t="s">
        <v>1322</v>
      </c>
      <c r="Z30" s="88">
        <v>2025</v>
      </c>
      <c r="AA30" s="88">
        <v>2030</v>
      </c>
      <c r="AB30" s="88">
        <v>2035</v>
      </c>
      <c r="AC30" s="88">
        <v>2040</v>
      </c>
      <c r="AD30" s="88">
        <v>2045</v>
      </c>
      <c r="AE30" s="88">
        <v>2050</v>
      </c>
      <c r="AH30" s="110" t="s">
        <v>4249</v>
      </c>
      <c r="AI30" s="281">
        <v>2019</v>
      </c>
      <c r="AJ30" s="281">
        <v>2020</v>
      </c>
      <c r="AK30" s="281">
        <v>2021</v>
      </c>
      <c r="AL30" s="281">
        <v>2025</v>
      </c>
      <c r="AM30" s="281">
        <v>2030</v>
      </c>
      <c r="AN30" s="281">
        <v>2035</v>
      </c>
      <c r="AO30" s="281">
        <v>2040</v>
      </c>
      <c r="AP30" s="281">
        <v>2045</v>
      </c>
      <c r="AQ30" s="281">
        <v>2050</v>
      </c>
      <c r="AS30" s="110" t="s">
        <v>4249</v>
      </c>
      <c r="AT30" s="281">
        <v>2019</v>
      </c>
      <c r="AU30" s="281">
        <v>2020</v>
      </c>
      <c r="AV30" s="281">
        <v>2021</v>
      </c>
      <c r="AW30" s="281">
        <v>2025</v>
      </c>
      <c r="AX30" s="281">
        <v>2030</v>
      </c>
      <c r="AY30" s="281">
        <v>2035</v>
      </c>
      <c r="AZ30" s="281">
        <v>2040</v>
      </c>
      <c r="BA30" s="281">
        <v>2045</v>
      </c>
      <c r="BB30" s="281">
        <v>2050</v>
      </c>
    </row>
    <row r="31" spans="1:54" ht="15.75" thickTop="1" x14ac:dyDescent="0.25">
      <c r="V31" s="1044"/>
      <c r="X31" s="1044"/>
      <c r="Y31" t="s">
        <v>1499</v>
      </c>
      <c r="Z31" s="60">
        <f>AC13/$Z13</f>
        <v>1.0866942086482834</v>
      </c>
      <c r="AA31" s="60">
        <f t="shared" ref="AA31:AE31" si="12">AD13/$Z13</f>
        <v>1.2096127424240197</v>
      </c>
      <c r="AB31" s="60">
        <f t="shared" si="12"/>
        <v>1.3029467898204306</v>
      </c>
      <c r="AC31" s="60">
        <f t="shared" si="12"/>
        <v>1.3968149627178506</v>
      </c>
      <c r="AD31" s="60">
        <f t="shared" si="12"/>
        <v>1.4893035088775259</v>
      </c>
      <c r="AE31" s="60">
        <f t="shared" si="12"/>
        <v>1.5947399775638853</v>
      </c>
      <c r="AH31" s="52" t="s">
        <v>4346</v>
      </c>
      <c r="AI31" s="561">
        <v>120.869745991</v>
      </c>
      <c r="AJ31" s="561">
        <v>91.294698485999987</v>
      </c>
      <c r="AK31" s="561">
        <v>89.413447361999999</v>
      </c>
      <c r="AL31" s="561">
        <v>131.34845296920878</v>
      </c>
      <c r="AM31" s="561">
        <v>146.20558492426818</v>
      </c>
      <c r="AN31" s="561">
        <v>157.48684752538432</v>
      </c>
      <c r="AO31" s="561">
        <v>168.83266974013475</v>
      </c>
      <c r="AP31" s="561">
        <v>180.01173682153157</v>
      </c>
      <c r="AQ31" s="561">
        <v>192.75581600983986</v>
      </c>
      <c r="AS31" s="52" t="s">
        <v>4346</v>
      </c>
      <c r="AT31" s="561">
        <v>120.869745991</v>
      </c>
      <c r="AU31" s="561">
        <v>91.294698485999987</v>
      </c>
      <c r="AV31" s="561">
        <v>89.413447361999999</v>
      </c>
      <c r="AW31" s="561">
        <f>HLOOKUP(AW$30, $AI$89:$BN$92, 2, FALSE)/1000</f>
        <v>117.6630821380305</v>
      </c>
      <c r="AX31" s="561">
        <f t="shared" ref="AX31:BB31" si="13">HLOOKUP(AX$30, $AI$89:$BN$92, 2, FALSE)/1000</f>
        <v>115.05594473971129</v>
      </c>
      <c r="AY31" s="561">
        <f t="shared" si="13"/>
        <v>112.5065753795074</v>
      </c>
      <c r="AZ31" s="561">
        <f t="shared" si="13"/>
        <v>110.01369405344595</v>
      </c>
      <c r="BA31" s="561">
        <f t="shared" si="13"/>
        <v>107.57604911943415</v>
      </c>
      <c r="BB31" s="561">
        <f t="shared" si="13"/>
        <v>105.19241666882668</v>
      </c>
    </row>
    <row r="32" spans="1:54" x14ac:dyDescent="0.25">
      <c r="V32" s="1044"/>
      <c r="X32" s="1044"/>
      <c r="Y32" t="s">
        <v>1500</v>
      </c>
      <c r="Z32" s="60">
        <f>AC14/$Z14</f>
        <v>1.0879945320894016</v>
      </c>
      <c r="AA32" s="60">
        <f t="shared" ref="AA32:AE32" si="14">AD14/$Z14</f>
        <v>1.1529844792187485</v>
      </c>
      <c r="AB32" s="60">
        <f t="shared" si="14"/>
        <v>1.205860451262194</v>
      </c>
      <c r="AC32" s="60">
        <f t="shared" si="14"/>
        <v>1.2480638915779283</v>
      </c>
      <c r="AD32" s="60">
        <f t="shared" si="14"/>
        <v>1.2851531334106361</v>
      </c>
      <c r="AE32" s="60">
        <f t="shared" si="14"/>
        <v>1.320040317862196</v>
      </c>
      <c r="AH32" s="52" t="s">
        <v>4347</v>
      </c>
      <c r="AI32" s="561">
        <v>122.43020546899999</v>
      </c>
      <c r="AJ32" s="561">
        <v>99.944976169</v>
      </c>
      <c r="AK32" s="561">
        <v>102.845402925</v>
      </c>
      <c r="AL32" s="561">
        <v>133.04419524678167</v>
      </c>
      <c r="AM32" s="561">
        <v>148.0931365928933</v>
      </c>
      <c r="AN32" s="561">
        <v>159.52004319288926</v>
      </c>
      <c r="AO32" s="561">
        <v>171.01234288772</v>
      </c>
      <c r="AP32" s="561">
        <v>182.33573459757815</v>
      </c>
      <c r="AQ32" s="561">
        <v>195.24434312277489</v>
      </c>
      <c r="AS32" s="52" t="s">
        <v>4347</v>
      </c>
      <c r="AT32" s="561">
        <v>122.43020546899999</v>
      </c>
      <c r="AU32" s="561">
        <v>99.944976169</v>
      </c>
      <c r="AV32" s="561">
        <v>102.845402925</v>
      </c>
      <c r="AW32" s="561">
        <f>AL34-AW31</f>
        <v>146.72956607795993</v>
      </c>
      <c r="AX32" s="561">
        <f t="shared" ref="AX32:BB32" si="15">AM34-AX31</f>
        <v>179.24277677745019</v>
      </c>
      <c r="AY32" s="561">
        <f t="shared" si="15"/>
        <v>204.50031533876614</v>
      </c>
      <c r="AZ32" s="561">
        <f t="shared" si="15"/>
        <v>229.83131857440884</v>
      </c>
      <c r="BA32" s="561">
        <f t="shared" si="15"/>
        <v>254.77142229967561</v>
      </c>
      <c r="BB32" s="561">
        <f t="shared" si="15"/>
        <v>282.80774246378803</v>
      </c>
    </row>
    <row r="33" spans="22:54" x14ac:dyDescent="0.25">
      <c r="V33" s="1044"/>
      <c r="X33" s="1044"/>
      <c r="AH33" s="203" t="s">
        <v>4348</v>
      </c>
      <c r="AI33" s="1036">
        <v>90.977726708999995</v>
      </c>
      <c r="AJ33" s="1036">
        <v>81.995758436999992</v>
      </c>
      <c r="AK33" s="1036">
        <v>91.973421832000014</v>
      </c>
      <c r="AL33" s="1036">
        <v>98.864968730656543</v>
      </c>
      <c r="AM33" s="1036">
        <v>110.04781750397647</v>
      </c>
      <c r="AN33" s="1036">
        <v>118.53913696065199</v>
      </c>
      <c r="AO33" s="1036">
        <v>127.07904994118663</v>
      </c>
      <c r="AP33" s="1036">
        <v>135.49344761741429</v>
      </c>
      <c r="AQ33" s="1036">
        <v>145.08581785072394</v>
      </c>
      <c r="AS33" s="52" t="s">
        <v>4348</v>
      </c>
      <c r="AT33" s="561">
        <v>90.977726708999995</v>
      </c>
      <c r="AU33" s="561">
        <v>81.995758436999992</v>
      </c>
      <c r="AV33" s="561">
        <v>91.973421832000014</v>
      </c>
      <c r="AW33" s="561">
        <v>98.864968730656543</v>
      </c>
      <c r="AX33" s="561">
        <v>110.04781750397647</v>
      </c>
      <c r="AY33" s="561">
        <v>118.53913696065199</v>
      </c>
      <c r="AZ33" s="561">
        <v>127.07904994118663</v>
      </c>
      <c r="BA33" s="561">
        <v>135.49344761741429</v>
      </c>
      <c r="BB33" s="561">
        <v>145.08581785072394</v>
      </c>
    </row>
    <row r="34" spans="22:54" ht="15.75" x14ac:dyDescent="0.25">
      <c r="V34" s="1044"/>
      <c r="X34" s="1044"/>
      <c r="Y34" s="159" t="s">
        <v>4306</v>
      </c>
      <c r="AH34" s="28" t="s">
        <v>4892</v>
      </c>
      <c r="AI34" s="878">
        <f>SUM(AI31:AI32)</f>
        <v>243.29995145999999</v>
      </c>
      <c r="AJ34" s="878">
        <f t="shared" ref="AJ34:AQ34" si="16">SUM(AJ31:AJ32)</f>
        <v>191.23967465499999</v>
      </c>
      <c r="AK34" s="878">
        <f t="shared" si="16"/>
        <v>192.258850287</v>
      </c>
      <c r="AL34" s="878">
        <f t="shared" si="16"/>
        <v>264.39264821599045</v>
      </c>
      <c r="AM34" s="878">
        <f t="shared" si="16"/>
        <v>294.29872151716148</v>
      </c>
      <c r="AN34" s="878">
        <f t="shared" si="16"/>
        <v>317.00689071827355</v>
      </c>
      <c r="AO34" s="878">
        <f t="shared" si="16"/>
        <v>339.84501262785477</v>
      </c>
      <c r="AP34" s="878">
        <f t="shared" si="16"/>
        <v>362.34747141910975</v>
      </c>
      <c r="AQ34" s="878">
        <f t="shared" si="16"/>
        <v>388.00015913261473</v>
      </c>
    </row>
    <row r="35" spans="22:54" ht="15.75" thickBot="1" x14ac:dyDescent="0.3">
      <c r="V35" s="1044"/>
      <c r="X35" s="1044"/>
      <c r="Y35" s="88" t="s">
        <v>4305</v>
      </c>
      <c r="Z35" s="88">
        <v>2020</v>
      </c>
      <c r="AA35" s="281">
        <v>2025</v>
      </c>
      <c r="AB35" s="281">
        <v>2030</v>
      </c>
      <c r="AC35" s="281">
        <v>2035</v>
      </c>
      <c r="AD35" s="281">
        <v>2040</v>
      </c>
      <c r="AE35" s="281">
        <v>2045</v>
      </c>
      <c r="AF35" s="281">
        <v>2050</v>
      </c>
      <c r="AI35" s="22"/>
      <c r="AJ35" s="22"/>
    </row>
    <row r="36" spans="22:54" ht="15.75" thickTop="1" x14ac:dyDescent="0.25">
      <c r="V36" s="1044"/>
      <c r="X36" s="1044"/>
      <c r="Y36" t="s">
        <v>2820</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44"/>
      <c r="X37" s="1044"/>
      <c r="Y37" t="s">
        <v>4307</v>
      </c>
      <c r="Z37" s="60">
        <f t="shared" ref="Z37:AF37" si="17">Z36/$Z$36</f>
        <v>1</v>
      </c>
      <c r="AA37" s="60">
        <f t="shared" si="17"/>
        <v>1.1801427026306137</v>
      </c>
      <c r="AB37" s="60">
        <f t="shared" si="17"/>
        <v>1.2855283054882298</v>
      </c>
      <c r="AC37" s="60">
        <f t="shared" si="17"/>
        <v>1.4221444580272304</v>
      </c>
      <c r="AD37" s="60">
        <f t="shared" si="17"/>
        <v>1.5485240862404683</v>
      </c>
      <c r="AE37" s="60">
        <f t="shared" si="17"/>
        <v>1.6750771108121567</v>
      </c>
      <c r="AF37" s="60">
        <f t="shared" si="17"/>
        <v>1.7954273884083201</v>
      </c>
    </row>
    <row r="38" spans="22:54" x14ac:dyDescent="0.25">
      <c r="V38" s="1044"/>
      <c r="X38" s="1044"/>
    </row>
    <row r="39" spans="22:54" x14ac:dyDescent="0.25">
      <c r="V39" s="1044"/>
      <c r="X39" s="1044"/>
    </row>
    <row r="40" spans="22:54" x14ac:dyDescent="0.25">
      <c r="V40" s="1044"/>
      <c r="X40" s="1044"/>
    </row>
    <row r="41" spans="22:54" x14ac:dyDescent="0.25">
      <c r="V41" s="1044"/>
      <c r="X41" s="1044"/>
    </row>
    <row r="42" spans="22:54" x14ac:dyDescent="0.25">
      <c r="V42" s="1044"/>
      <c r="X42" s="1044"/>
    </row>
    <row r="43" spans="22:54" x14ac:dyDescent="0.25">
      <c r="V43" s="1044"/>
      <c r="X43" s="1044"/>
    </row>
    <row r="44" spans="22:54" x14ac:dyDescent="0.25">
      <c r="V44" s="1044"/>
      <c r="X44" s="1044"/>
    </row>
    <row r="45" spans="22:54" x14ac:dyDescent="0.25">
      <c r="V45" s="1044"/>
      <c r="X45" s="1044"/>
    </row>
    <row r="46" spans="22:54" x14ac:dyDescent="0.25">
      <c r="V46" s="1044"/>
      <c r="X46" s="1044"/>
    </row>
    <row r="47" spans="22:54" x14ac:dyDescent="0.25">
      <c r="V47" s="1044"/>
      <c r="X47" s="1044"/>
    </row>
    <row r="48" spans="22:54" x14ac:dyDescent="0.25">
      <c r="V48" s="1044"/>
      <c r="X48" s="1044"/>
    </row>
    <row r="49" spans="22:59" x14ac:dyDescent="0.25">
      <c r="V49" s="1044"/>
      <c r="X49" s="1044"/>
    </row>
    <row r="50" spans="22:59" x14ac:dyDescent="0.25">
      <c r="V50" s="1044"/>
      <c r="X50" s="1044"/>
    </row>
    <row r="58" spans="22:59" ht="15.75" thickBot="1" x14ac:dyDescent="0.3">
      <c r="AH58" s="28" t="s">
        <v>4889</v>
      </c>
      <c r="AI58" s="289"/>
      <c r="AJ58" s="80"/>
      <c r="AK58" s="80"/>
      <c r="AL58" s="80"/>
      <c r="AM58" s="80"/>
      <c r="AN58" s="80"/>
      <c r="AO58" s="80"/>
      <c r="AP58" s="80"/>
      <c r="AQ58" s="80"/>
      <c r="AR58" s="80"/>
      <c r="AS58" s="80"/>
      <c r="AT58" s="80"/>
      <c r="AU58" s="80"/>
      <c r="AV58" s="80"/>
      <c r="AW58" s="80"/>
      <c r="AX58" s="80"/>
      <c r="AY58" s="80"/>
      <c r="AZ58" s="80"/>
      <c r="BA58" s="80"/>
      <c r="BB58" s="80"/>
    </row>
    <row r="59" spans="22:59" ht="15.75" thickBot="1" x14ac:dyDescent="0.3">
      <c r="AH59" s="110" t="s">
        <v>4249</v>
      </c>
      <c r="AI59" s="174">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c r="BE59" s="309" t="s">
        <v>4891</v>
      </c>
    </row>
    <row r="60" spans="22:59" ht="15.75" thickTop="1" x14ac:dyDescent="0.25">
      <c r="AH60" s="52" t="s">
        <v>4346</v>
      </c>
      <c r="AI60" s="878">
        <v>131612.15738399999</v>
      </c>
      <c r="AJ60" s="878">
        <v>130621.13456200001</v>
      </c>
      <c r="AK60" s="878">
        <v>135626.21168499999</v>
      </c>
      <c r="AL60" s="878">
        <v>135683.637043</v>
      </c>
      <c r="AM60" s="878">
        <v>137713.17871199999</v>
      </c>
      <c r="AN60" s="878">
        <v>139397.034315</v>
      </c>
      <c r="AO60" s="878">
        <v>135561.55491000001</v>
      </c>
      <c r="AP60" s="878">
        <v>136985.00099</v>
      </c>
      <c r="AQ60" s="878">
        <v>135371.74356800001</v>
      </c>
      <c r="AR60" s="878">
        <v>139079.27037400001</v>
      </c>
      <c r="AS60" s="878">
        <v>139227.03591899999</v>
      </c>
      <c r="AT60" s="878">
        <v>135248.109719</v>
      </c>
      <c r="AU60" s="878">
        <v>126493.612866</v>
      </c>
      <c r="AV60" s="878">
        <v>132819.485354</v>
      </c>
      <c r="AW60" s="878">
        <v>127169.949154</v>
      </c>
      <c r="AX60" s="878">
        <v>127161.77648499999</v>
      </c>
      <c r="AY60" s="878">
        <v>125528.49937000001</v>
      </c>
      <c r="AZ60" s="878">
        <v>121009.21014700001</v>
      </c>
      <c r="BA60" s="878">
        <v>120437.707371</v>
      </c>
      <c r="BB60" s="878">
        <v>120869.745991</v>
      </c>
      <c r="BC60" s="878">
        <v>91294.698485999994</v>
      </c>
      <c r="BD60" s="13">
        <v>89413.447362000006</v>
      </c>
      <c r="BE60" s="99">
        <f>($BB60/$AI60)^(1/19) - 1</f>
        <v>-4.4713373357260222E-3</v>
      </c>
      <c r="BF60" s="29"/>
      <c r="BG60" s="29"/>
    </row>
    <row r="61" spans="22:59" x14ac:dyDescent="0.25">
      <c r="AH61" s="52" t="s">
        <v>4347</v>
      </c>
      <c r="AI61" s="878">
        <v>56790.016723000001</v>
      </c>
      <c r="AJ61" s="878">
        <v>58077.240126999997</v>
      </c>
      <c r="AK61" s="878">
        <v>62187.732306999998</v>
      </c>
      <c r="AL61" s="878">
        <v>64810.999015000001</v>
      </c>
      <c r="AM61" s="878">
        <v>68786.827323999998</v>
      </c>
      <c r="AN61" s="878">
        <v>73115.482913999993</v>
      </c>
      <c r="AO61" s="878">
        <v>72848.495014999993</v>
      </c>
      <c r="AP61" s="878">
        <v>75894.909419000003</v>
      </c>
      <c r="AQ61" s="878">
        <v>77196.616464999999</v>
      </c>
      <c r="AR61" s="878">
        <v>82089.957588000005</v>
      </c>
      <c r="AS61" s="878">
        <v>86545.975993</v>
      </c>
      <c r="AT61" s="878">
        <v>88673.173087000003</v>
      </c>
      <c r="AU61" s="878">
        <v>84806.728302000003</v>
      </c>
      <c r="AV61" s="878">
        <v>92973.007651000007</v>
      </c>
      <c r="AW61" s="878">
        <v>92963.631955999997</v>
      </c>
      <c r="AX61" s="878">
        <v>97750.728390999997</v>
      </c>
      <c r="AY61" s="878">
        <v>104436.20808700001</v>
      </c>
      <c r="AZ61" s="878">
        <v>108039.270145</v>
      </c>
      <c r="BA61" s="878">
        <v>115776.994916</v>
      </c>
      <c r="BB61" s="878">
        <v>122430.20546899999</v>
      </c>
      <c r="BC61" s="878">
        <v>99944.976169000001</v>
      </c>
      <c r="BD61" s="13">
        <v>102845.402925</v>
      </c>
      <c r="BE61" s="99">
        <f>(BB61/AI61)^(1/19) - 1</f>
        <v>4.1258998220065735E-2</v>
      </c>
      <c r="BF61" s="29"/>
      <c r="BG61" s="29"/>
    </row>
    <row r="62" spans="22:59" ht="15.75" thickBot="1" x14ac:dyDescent="0.3">
      <c r="AH62" s="52" t="s">
        <v>4348</v>
      </c>
      <c r="AI62" s="878">
        <v>71039.600267999995</v>
      </c>
      <c r="AJ62" s="878">
        <v>66738.674276999998</v>
      </c>
      <c r="AK62" s="878">
        <v>67210.848800000007</v>
      </c>
      <c r="AL62" s="878">
        <v>71646.947069000002</v>
      </c>
      <c r="AM62" s="878">
        <v>75847.431714999999</v>
      </c>
      <c r="AN62" s="878">
        <v>83065.659929000001</v>
      </c>
      <c r="AO62" s="878">
        <v>76786.743927000003</v>
      </c>
      <c r="AP62" s="878">
        <v>74504.584784999999</v>
      </c>
      <c r="AQ62" s="878">
        <v>73229.639171000003</v>
      </c>
      <c r="AR62" s="878">
        <v>67802.292652000004</v>
      </c>
      <c r="AS62" s="878">
        <v>73632.270696000007</v>
      </c>
      <c r="AT62" s="878">
        <v>78289.511331000002</v>
      </c>
      <c r="AU62" s="878">
        <v>81846.844922999997</v>
      </c>
      <c r="AV62" s="878">
        <v>84745.802635999993</v>
      </c>
      <c r="AW62" s="878">
        <v>86679.827827000001</v>
      </c>
      <c r="AX62" s="878">
        <v>90666.548158000005</v>
      </c>
      <c r="AY62" s="878">
        <v>94459.427645000003</v>
      </c>
      <c r="AZ62" s="878">
        <v>95303.646189000006</v>
      </c>
      <c r="BA62" s="878">
        <v>88045.736762999994</v>
      </c>
      <c r="BB62" s="878">
        <v>90977.726708999995</v>
      </c>
      <c r="BC62" s="878">
        <v>81995.758436999997</v>
      </c>
      <c r="BD62" s="13">
        <v>91973.421832000007</v>
      </c>
      <c r="BE62" s="101">
        <f>(BB62/AI62)^(1/19) - 1</f>
        <v>1.3104982269340315E-2</v>
      </c>
      <c r="BF62" s="29"/>
      <c r="BG62" s="29"/>
    </row>
    <row r="88" spans="34:66" x14ac:dyDescent="0.25">
      <c r="AH88" s="28" t="s">
        <v>4890</v>
      </c>
    </row>
    <row r="89" spans="34:66" ht="15.75" thickBot="1" x14ac:dyDescent="0.3">
      <c r="AH89" s="110" t="s">
        <v>4249</v>
      </c>
      <c r="AI89" s="174">
        <v>2019</v>
      </c>
      <c r="AJ89" s="174">
        <v>2020</v>
      </c>
      <c r="AK89" s="174">
        <v>2021</v>
      </c>
      <c r="AL89" s="174">
        <v>2022</v>
      </c>
      <c r="AM89" s="174">
        <v>2023</v>
      </c>
      <c r="AN89" s="174">
        <v>2024</v>
      </c>
      <c r="AO89" s="174">
        <v>2025</v>
      </c>
      <c r="AP89" s="174">
        <v>2026</v>
      </c>
      <c r="AQ89" s="174">
        <v>2027</v>
      </c>
      <c r="AR89" s="174">
        <v>2028</v>
      </c>
      <c r="AS89" s="174">
        <v>2029</v>
      </c>
      <c r="AT89" s="174">
        <v>2030</v>
      </c>
      <c r="AU89" s="174">
        <v>2031</v>
      </c>
      <c r="AV89" s="174">
        <v>2032</v>
      </c>
      <c r="AW89" s="174">
        <v>2033</v>
      </c>
      <c r="AX89" s="174">
        <v>2034</v>
      </c>
      <c r="AY89" s="174">
        <v>2035</v>
      </c>
      <c r="AZ89" s="174">
        <v>2036</v>
      </c>
      <c r="BA89" s="174">
        <v>2037</v>
      </c>
      <c r="BB89" s="174">
        <v>2038</v>
      </c>
      <c r="BC89" s="174">
        <v>2039</v>
      </c>
      <c r="BD89" s="174">
        <v>2040</v>
      </c>
      <c r="BE89" s="174">
        <v>2041</v>
      </c>
      <c r="BF89" s="174">
        <v>2042</v>
      </c>
      <c r="BG89" s="174">
        <v>2043</v>
      </c>
      <c r="BH89" s="174">
        <v>2044</v>
      </c>
      <c r="BI89" s="174">
        <v>2045</v>
      </c>
      <c r="BJ89" s="174">
        <v>2046</v>
      </c>
      <c r="BK89" s="174">
        <v>2047</v>
      </c>
      <c r="BL89" s="174">
        <v>2048</v>
      </c>
      <c r="BM89" s="174">
        <v>2049</v>
      </c>
      <c r="BN89" s="174">
        <v>2050</v>
      </c>
    </row>
    <row r="90" spans="34:66" ht="15.75" thickTop="1" x14ac:dyDescent="0.25">
      <c r="AH90" s="52" t="s">
        <v>4346</v>
      </c>
      <c r="AI90" s="878">
        <f>BB60</f>
        <v>120869.745991</v>
      </c>
      <c r="AJ90" s="878">
        <f>AI90*(1+$BE60)</f>
        <v>120329.29658299072</v>
      </c>
      <c r="AK90" s="878">
        <f t="shared" ref="AK90:BN92" si="18">AJ90*(1+$BE60)</f>
        <v>119791.26370659754</v>
      </c>
      <c r="AL90" s="878">
        <f t="shared" si="18"/>
        <v>119255.63655669244</v>
      </c>
      <c r="AM90" s="878">
        <f t="shared" si="18"/>
        <v>118722.40437646072</v>
      </c>
      <c r="AN90" s="878">
        <f t="shared" si="18"/>
        <v>118191.55645718508</v>
      </c>
      <c r="AO90" s="878">
        <f t="shared" si="18"/>
        <v>117663.0821380305</v>
      </c>
      <c r="AP90" s="878">
        <f t="shared" si="18"/>
        <v>117136.97080583012</v>
      </c>
      <c r="AQ90" s="878">
        <f t="shared" si="18"/>
        <v>116613.21189487216</v>
      </c>
      <c r="AR90" s="878">
        <f t="shared" si="18"/>
        <v>116091.79488668768</v>
      </c>
      <c r="AS90" s="878">
        <f t="shared" si="18"/>
        <v>115572.7093098394</v>
      </c>
      <c r="AT90" s="878">
        <f t="shared" si="18"/>
        <v>115055.9447397113</v>
      </c>
      <c r="AU90" s="878">
        <f t="shared" si="18"/>
        <v>114541.49079829939</v>
      </c>
      <c r="AV90" s="878">
        <f t="shared" si="18"/>
        <v>114029.33715400324</v>
      </c>
      <c r="AW90" s="878">
        <f t="shared" si="18"/>
        <v>113519.47352141845</v>
      </c>
      <c r="AX90" s="878">
        <f t="shared" si="18"/>
        <v>113011.88966113016</v>
      </c>
      <c r="AY90" s="878">
        <f t="shared" si="18"/>
        <v>112506.5753795074</v>
      </c>
      <c r="AZ90" s="878">
        <f t="shared" si="18"/>
        <v>112003.52052849834</v>
      </c>
      <c r="BA90" s="878">
        <f t="shared" si="18"/>
        <v>111502.71500542651</v>
      </c>
      <c r="BB90" s="878">
        <f t="shared" si="18"/>
        <v>111004.14875278792</v>
      </c>
      <c r="BC90" s="878">
        <f t="shared" si="18"/>
        <v>110507.81175804909</v>
      </c>
      <c r="BD90" s="878">
        <f t="shared" si="18"/>
        <v>110013.69405344594</v>
      </c>
      <c r="BE90" s="878">
        <f t="shared" si="18"/>
        <v>109521.78571578363</v>
      </c>
      <c r="BF90" s="878">
        <f t="shared" si="18"/>
        <v>109032.07686623726</v>
      </c>
      <c r="BG90" s="878">
        <f t="shared" si="18"/>
        <v>108544.5576701535</v>
      </c>
      <c r="BH90" s="878">
        <f t="shared" si="18"/>
        <v>108059.21833685308</v>
      </c>
      <c r="BI90" s="878">
        <f t="shared" si="18"/>
        <v>107576.04911943414</v>
      </c>
      <c r="BJ90" s="878">
        <f t="shared" si="18"/>
        <v>107095.04031457652</v>
      </c>
      <c r="BK90" s="878">
        <f t="shared" si="18"/>
        <v>106616.18226234686</v>
      </c>
      <c r="BL90" s="878">
        <f t="shared" si="18"/>
        <v>106139.46534600465</v>
      </c>
      <c r="BM90" s="878">
        <f t="shared" si="18"/>
        <v>105664.87999180907</v>
      </c>
      <c r="BN90" s="878">
        <f t="shared" si="18"/>
        <v>105192.41666882669</v>
      </c>
    </row>
    <row r="91" spans="34:66" x14ac:dyDescent="0.25">
      <c r="AH91" s="52" t="s">
        <v>4347</v>
      </c>
      <c r="AI91" s="878">
        <f t="shared" ref="AI91:AI92" si="19">BB61</f>
        <v>122430.20546899999</v>
      </c>
      <c r="AJ91" s="878">
        <f t="shared" ref="AJ91:AY92" si="20">AI91*(1+$BE61)</f>
        <v>127481.55309852774</v>
      </c>
      <c r="AK91" s="878">
        <f t="shared" si="20"/>
        <v>132741.31427091113</v>
      </c>
      <c r="AL91" s="878">
        <f t="shared" si="20"/>
        <v>138218.08792014382</v>
      </c>
      <c r="AM91" s="878">
        <f t="shared" si="20"/>
        <v>143920.82776362193</v>
      </c>
      <c r="AN91" s="878">
        <f t="shared" si="20"/>
        <v>149858.8569401516</v>
      </c>
      <c r="AO91" s="878">
        <f t="shared" si="20"/>
        <v>156041.8832519064</v>
      </c>
      <c r="AP91" s="878">
        <f t="shared" si="20"/>
        <v>162480.01503525252</v>
      </c>
      <c r="AQ91" s="878">
        <f t="shared" si="20"/>
        <v>169183.77768638826</v>
      </c>
      <c r="AR91" s="878">
        <f t="shared" si="20"/>
        <v>176164.13086881494</v>
      </c>
      <c r="AS91" s="878">
        <f t="shared" si="20"/>
        <v>183432.4864307708</v>
      </c>
      <c r="AT91" s="878">
        <f t="shared" si="20"/>
        <v>191000.72706192022</v>
      </c>
      <c r="AU91" s="878">
        <f t="shared" si="20"/>
        <v>198881.22571979926</v>
      </c>
      <c r="AV91" s="878">
        <f t="shared" si="20"/>
        <v>207086.86585777695</v>
      </c>
      <c r="AW91" s="878">
        <f t="shared" si="20"/>
        <v>215631.06248760197</v>
      </c>
      <c r="AX91" s="878">
        <f t="shared" si="20"/>
        <v>224527.78411096882</v>
      </c>
      <c r="AY91" s="878">
        <f t="shared" si="20"/>
        <v>233791.57555595858</v>
      </c>
      <c r="AZ91" s="878">
        <f t="shared" si="18"/>
        <v>243437.58175568824</v>
      </c>
      <c r="BA91" s="878">
        <f t="shared" si="18"/>
        <v>253481.57250804329</v>
      </c>
      <c r="BB91" s="878">
        <f t="shared" si="18"/>
        <v>263939.96825697209</v>
      </c>
      <c r="BC91" s="878">
        <f t="shared" si="18"/>
        <v>274829.8669374907</v>
      </c>
      <c r="BD91" s="878">
        <f t="shared" si="18"/>
        <v>286169.07192828553</v>
      </c>
      <c r="BE91" s="878">
        <f t="shared" si="18"/>
        <v>297976.12115761254</v>
      </c>
      <c r="BF91" s="878">
        <f t="shared" si="18"/>
        <v>310270.31741007656</v>
      </c>
      <c r="BG91" s="878">
        <f t="shared" si="18"/>
        <v>323071.75988383812</v>
      </c>
      <c r="BH91" s="878">
        <f t="shared" si="18"/>
        <v>336401.37704983889</v>
      </c>
      <c r="BI91" s="878">
        <f t="shared" si="18"/>
        <v>350280.96086676588</v>
      </c>
      <c r="BJ91" s="878">
        <f t="shared" si="18"/>
        <v>364733.2024076907</v>
      </c>
      <c r="BK91" s="878">
        <f t="shared" si="18"/>
        <v>379781.72895662847</v>
      </c>
      <c r="BL91" s="878">
        <f t="shared" si="18"/>
        <v>395451.14263566351</v>
      </c>
      <c r="BM91" s="878">
        <f t="shared" si="18"/>
        <v>411767.06062579132</v>
      </c>
      <c r="BN91" s="878">
        <f t="shared" si="18"/>
        <v>428756.15704723255</v>
      </c>
    </row>
    <row r="92" spans="34:66" x14ac:dyDescent="0.25">
      <c r="AH92" s="52" t="s">
        <v>4348</v>
      </c>
      <c r="AI92" s="878">
        <f t="shared" si="19"/>
        <v>90977.726708999995</v>
      </c>
      <c r="AJ92" s="878">
        <f t="shared" si="20"/>
        <v>92169.988204426336</v>
      </c>
      <c r="AK92" s="878">
        <f t="shared" si="18"/>
        <v>93377.874265610648</v>
      </c>
      <c r="AL92" s="878">
        <f t="shared" si="18"/>
        <v>94601.589652210168</v>
      </c>
      <c r="AM92" s="878">
        <f t="shared" si="18"/>
        <v>95841.34180725379</v>
      </c>
      <c r="AN92" s="878">
        <f t="shared" si="18"/>
        <v>97097.340892307635</v>
      </c>
      <c r="AO92" s="878">
        <f t="shared" si="18"/>
        <v>98369.799823101421</v>
      </c>
      <c r="AP92" s="878">
        <f t="shared" si="18"/>
        <v>99658.934305621719</v>
      </c>
      <c r="AQ92" s="878">
        <f t="shared" si="18"/>
        <v>100964.96287267824</v>
      </c>
      <c r="AR92" s="878">
        <f t="shared" si="18"/>
        <v>102288.10692094929</v>
      </c>
      <c r="AS92" s="878">
        <f t="shared" si="18"/>
        <v>103628.59074851271</v>
      </c>
      <c r="AT92" s="878">
        <f t="shared" si="18"/>
        <v>104986.64159286869</v>
      </c>
      <c r="AU92" s="878">
        <f t="shared" si="18"/>
        <v>106362.48966946082</v>
      </c>
      <c r="AV92" s="878">
        <f t="shared" si="18"/>
        <v>107756.368210702</v>
      </c>
      <c r="AW92" s="878">
        <f t="shared" si="18"/>
        <v>109168.51350551176</v>
      </c>
      <c r="AX92" s="878">
        <f t="shared" si="18"/>
        <v>110599.16493937172</v>
      </c>
      <c r="AY92" s="878">
        <f t="shared" si="18"/>
        <v>112048.56503490603</v>
      </c>
      <c r="AZ92" s="878">
        <f t="shared" si="18"/>
        <v>113516.9594929935</v>
      </c>
      <c r="BA92" s="878">
        <f t="shared" si="18"/>
        <v>115004.5972344186</v>
      </c>
      <c r="BB92" s="878">
        <f t="shared" si="18"/>
        <v>116511.73044206828</v>
      </c>
      <c r="BC92" s="878">
        <f t="shared" si="18"/>
        <v>118038.61460368174</v>
      </c>
      <c r="BD92" s="878">
        <f t="shared" si="18"/>
        <v>119585.50855516049</v>
      </c>
      <c r="BE92" s="878">
        <f t="shared" si="18"/>
        <v>121152.6745244459</v>
      </c>
      <c r="BF92" s="878">
        <f t="shared" si="18"/>
        <v>122740.37817597193</v>
      </c>
      <c r="BG92" s="878">
        <f t="shared" si="18"/>
        <v>124348.88865570017</v>
      </c>
      <c r="BH92" s="878">
        <f t="shared" si="18"/>
        <v>125978.47863674529</v>
      </c>
      <c r="BI92" s="878">
        <f t="shared" si="18"/>
        <v>127629.4243655983</v>
      </c>
      <c r="BJ92" s="878">
        <f t="shared" si="18"/>
        <v>129302.00570895558</v>
      </c>
      <c r="BK92" s="878">
        <f t="shared" si="18"/>
        <v>130996.50620116158</v>
      </c>
      <c r="BL92" s="878">
        <f t="shared" si="18"/>
        <v>132713.21309227333</v>
      </c>
      <c r="BM92" s="878">
        <f t="shared" si="18"/>
        <v>134452.41739675475</v>
      </c>
      <c r="BN92" s="878">
        <f t="shared" si="18"/>
        <v>136214.41394280916</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1"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7"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47" t="s">
        <v>2942</v>
      </c>
      <c r="B1" s="1047"/>
      <c r="C1" s="1047"/>
      <c r="D1" s="1047"/>
      <c r="E1" s="1065"/>
      <c r="F1" s="1066" t="s">
        <v>147</v>
      </c>
      <c r="G1" s="1067"/>
      <c r="H1" s="1067"/>
      <c r="I1" s="1067"/>
      <c r="J1" s="1067"/>
      <c r="K1" s="1044" t="s">
        <v>2640</v>
      </c>
      <c r="L1" s="735"/>
      <c r="M1" s="1044" t="s">
        <v>2941</v>
      </c>
      <c r="N1" s="1074" t="s">
        <v>2940</v>
      </c>
      <c r="O1" s="1074"/>
      <c r="P1" s="1066" t="s">
        <v>147</v>
      </c>
      <c r="Q1" s="1067"/>
      <c r="R1" s="1067"/>
      <c r="S1" s="1067"/>
      <c r="T1" s="1067"/>
      <c r="V1" s="1080" t="s">
        <v>1388</v>
      </c>
      <c r="W1" s="1081"/>
      <c r="X1" s="1082"/>
      <c r="Z1" s="1080" t="s">
        <v>1391</v>
      </c>
      <c r="AA1" s="1081"/>
      <c r="AB1" s="1081"/>
      <c r="AC1" s="1081"/>
      <c r="AD1" s="1081"/>
      <c r="AE1" s="1081"/>
      <c r="AF1" s="1081"/>
      <c r="AG1" s="1081"/>
      <c r="AH1" s="1081"/>
      <c r="AI1" s="1081"/>
      <c r="AJ1" s="1081"/>
      <c r="AK1" s="1081"/>
      <c r="AL1" s="1081"/>
      <c r="AM1" s="1081"/>
      <c r="AN1" s="1081"/>
      <c r="AO1" s="1081"/>
      <c r="AP1" s="1081"/>
      <c r="AQ1" s="1081"/>
      <c r="AR1" s="1081"/>
      <c r="AS1" s="1082"/>
    </row>
    <row r="2" spans="1:45" s="106" customFormat="1" ht="99.75" thickBot="1" x14ac:dyDescent="0.3">
      <c r="A2" s="724" t="s">
        <v>2944</v>
      </c>
      <c r="B2" s="724" t="s">
        <v>93</v>
      </c>
      <c r="C2" s="724" t="s">
        <v>179</v>
      </c>
      <c r="D2" s="724" t="s">
        <v>143</v>
      </c>
      <c r="E2" s="725" t="s">
        <v>91</v>
      </c>
      <c r="F2" s="722" t="s">
        <v>148</v>
      </c>
      <c r="G2" s="722" t="s">
        <v>152</v>
      </c>
      <c r="H2" s="722" t="s">
        <v>149</v>
      </c>
      <c r="I2" s="722" t="s">
        <v>150</v>
      </c>
      <c r="J2" s="722" t="s">
        <v>151</v>
      </c>
      <c r="K2" s="1044"/>
      <c r="L2" s="735"/>
      <c r="M2" s="1044"/>
      <c r="N2" s="200" t="s">
        <v>1398</v>
      </c>
      <c r="O2" s="200" t="s">
        <v>91</v>
      </c>
      <c r="P2" s="727" t="s">
        <v>148</v>
      </c>
      <c r="Q2" s="722" t="s">
        <v>152</v>
      </c>
      <c r="R2" s="722" t="s">
        <v>149</v>
      </c>
      <c r="S2" s="722" t="s">
        <v>150</v>
      </c>
      <c r="T2" s="722" t="s">
        <v>151</v>
      </c>
      <c r="V2" s="1077" t="s">
        <v>1227</v>
      </c>
      <c r="W2" s="1078"/>
      <c r="X2" s="1079"/>
      <c r="Z2" s="1068" t="s">
        <v>1389</v>
      </c>
      <c r="AA2" s="1069"/>
      <c r="AC2" s="1069" t="s">
        <v>4079</v>
      </c>
      <c r="AD2" s="1069"/>
      <c r="AE2" s="1069"/>
      <c r="AF2" s="1069"/>
      <c r="AG2" s="1069"/>
      <c r="AH2" s="1069"/>
      <c r="AI2" s="1069"/>
      <c r="AJ2" s="1069"/>
      <c r="AK2" s="1069"/>
      <c r="AS2" s="737"/>
    </row>
    <row r="3" spans="1:45" ht="16.5" thickTop="1" thickBot="1" x14ac:dyDescent="0.3">
      <c r="A3" t="s">
        <v>2038</v>
      </c>
      <c r="B3" t="s">
        <v>95</v>
      </c>
      <c r="C3" t="s">
        <v>2939</v>
      </c>
      <c r="D3">
        <v>2018</v>
      </c>
      <c r="E3" t="s">
        <v>2945</v>
      </c>
      <c r="F3" s="377">
        <v>1</v>
      </c>
      <c r="G3" s="377">
        <v>2</v>
      </c>
      <c r="H3" s="377">
        <v>1</v>
      </c>
      <c r="I3" s="377">
        <v>1</v>
      </c>
      <c r="J3" s="377">
        <v>1</v>
      </c>
      <c r="K3" s="1044"/>
      <c r="M3" s="1044"/>
      <c r="N3" s="28" t="s">
        <v>1392</v>
      </c>
      <c r="V3" s="232" t="s">
        <v>1226</v>
      </c>
      <c r="W3" s="88" t="s">
        <v>0</v>
      </c>
      <c r="X3" s="378" t="s">
        <v>1267</v>
      </c>
      <c r="Z3" s="232" t="s">
        <v>93</v>
      </c>
      <c r="AA3" s="88" t="s">
        <v>122</v>
      </c>
      <c r="AC3" s="88" t="s">
        <v>1326</v>
      </c>
      <c r="AD3" s="110" t="s">
        <v>1483</v>
      </c>
      <c r="AE3" s="88">
        <v>2023</v>
      </c>
      <c r="AF3" s="88">
        <v>2025</v>
      </c>
      <c r="AG3" s="88">
        <v>2030</v>
      </c>
      <c r="AH3" s="88">
        <v>2035</v>
      </c>
      <c r="AI3" s="88">
        <v>2040</v>
      </c>
      <c r="AJ3" s="88">
        <v>2045</v>
      </c>
      <c r="AK3" s="88">
        <v>2050</v>
      </c>
      <c r="AS3" s="63"/>
    </row>
    <row r="4" spans="1:45" ht="15.75" thickTop="1" x14ac:dyDescent="0.25">
      <c r="A4" t="s">
        <v>2039</v>
      </c>
      <c r="B4" t="s">
        <v>95</v>
      </c>
      <c r="C4" t="s">
        <v>2939</v>
      </c>
      <c r="D4">
        <v>2018</v>
      </c>
      <c r="E4" t="s">
        <v>2945</v>
      </c>
      <c r="F4" s="377">
        <v>1</v>
      </c>
      <c r="G4" s="377">
        <v>2</v>
      </c>
      <c r="H4" s="377">
        <v>1</v>
      </c>
      <c r="I4" s="377">
        <v>1</v>
      </c>
      <c r="J4" s="377">
        <v>1</v>
      </c>
      <c r="K4" s="1044"/>
      <c r="M4" s="1044"/>
      <c r="N4" s="17" t="s">
        <v>1393</v>
      </c>
      <c r="O4" s="87" t="s">
        <v>1395</v>
      </c>
      <c r="P4" s="377">
        <v>2</v>
      </c>
      <c r="Q4" s="377">
        <v>1</v>
      </c>
      <c r="R4" s="377">
        <v>1</v>
      </c>
      <c r="S4" s="377">
        <v>1</v>
      </c>
      <c r="T4" s="377">
        <v>1</v>
      </c>
      <c r="V4" s="774" t="s">
        <v>1228</v>
      </c>
      <c r="W4" t="s">
        <v>1254</v>
      </c>
      <c r="X4" s="63"/>
      <c r="Z4" s="64" t="s">
        <v>2943</v>
      </c>
      <c r="AA4" s="751" t="s">
        <v>1390</v>
      </c>
      <c r="AC4" s="271" t="s">
        <v>2694</v>
      </c>
      <c r="AD4" s="292"/>
      <c r="AE4" s="767">
        <f>AE5*$AD5+AE6*$AD6</f>
        <v>41054.772550042078</v>
      </c>
      <c r="AF4" s="767">
        <f t="shared" ref="AF4:AK4" si="0">AF5*$AD5+AF6*$AD6</f>
        <v>37909.911916813027</v>
      </c>
      <c r="AG4" s="767">
        <f t="shared" si="0"/>
        <v>38440.489003140938</v>
      </c>
      <c r="AH4" s="767">
        <f t="shared" si="0"/>
        <v>34874.515447808488</v>
      </c>
      <c r="AI4" s="767">
        <f t="shared" si="0"/>
        <v>33232.034277646075</v>
      </c>
      <c r="AJ4" s="767">
        <f t="shared" si="0"/>
        <v>31589.553107483665</v>
      </c>
      <c r="AK4" s="767">
        <f t="shared" si="0"/>
        <v>29947.071937321256</v>
      </c>
      <c r="AS4" s="63"/>
    </row>
    <row r="5" spans="1:45" x14ac:dyDescent="0.25">
      <c r="A5" t="s">
        <v>2040</v>
      </c>
      <c r="B5" t="s">
        <v>95</v>
      </c>
      <c r="C5" t="s">
        <v>2939</v>
      </c>
      <c r="D5">
        <v>2018</v>
      </c>
      <c r="E5" t="s">
        <v>2945</v>
      </c>
      <c r="F5" s="377">
        <v>1</v>
      </c>
      <c r="G5" s="377">
        <v>2</v>
      </c>
      <c r="H5" s="377">
        <v>1</v>
      </c>
      <c r="I5" s="377">
        <v>1</v>
      </c>
      <c r="J5" s="377">
        <v>1</v>
      </c>
      <c r="K5" s="1044"/>
      <c r="M5" s="1044"/>
      <c r="N5" s="17" t="s">
        <v>1399</v>
      </c>
      <c r="O5" t="s">
        <v>1394</v>
      </c>
      <c r="P5" s="377"/>
      <c r="Q5" s="377"/>
      <c r="R5" s="377"/>
      <c r="S5" s="377"/>
      <c r="T5" s="377"/>
      <c r="V5" s="774" t="s">
        <v>1229</v>
      </c>
      <c r="W5" t="s">
        <v>1255</v>
      </c>
      <c r="X5" s="63"/>
      <c r="Z5" s="64"/>
      <c r="AC5" s="17" t="s">
        <v>482</v>
      </c>
      <c r="AD5" s="291">
        <f>Efficiency!AW63</f>
        <v>0.54500397685625612</v>
      </c>
      <c r="AE5" s="520" cm="1">
        <f t="array" ref="AE5">_xlfn._xlws.FILTER('Autonomie 2023 LDV'!$G:$G, ('Autonomie 2023 LDV'!$A:$A="BEV150")*('Autonomie 2023 LDV'!$B:$B=AE$3)*('Autonomie 2023 LDV'!$D:$D=$AC5))</f>
        <v>34935.528960000003</v>
      </c>
      <c r="AF5" s="520" cm="1">
        <f t="array" ref="AF5">_xlfn._xlws.FILTER('Autonomie 2023 LDV'!$G:$G, ('Autonomie 2023 LDV'!$A:$A="BEV150")*('Autonomie 2023 LDV'!$B:$B=AF$3)*('Autonomie 2023 LDV'!$D:$D=$AC5))</f>
        <v>31754.37384</v>
      </c>
      <c r="AG5" s="520" cm="1">
        <f t="array" ref="AG5">_xlfn._xlws.FILTER('Autonomie 2023 LDV'!$G:$G, ('Autonomie 2023 LDV'!$A:$A="BEV150")*('Autonomie 2023 LDV'!$B:$B=AG$3)*('Autonomie 2023 LDV'!$D:$D=$AC5))</f>
        <v>32493.765599999999</v>
      </c>
      <c r="AH5" s="520" cm="1">
        <f t="array" ref="AH5">_xlfn._xlws.FILTER('Autonomie 2023 LDV'!$G:$G, ('Autonomie 2023 LDV'!$A:$A="BEV150")*('Autonomie 2023 LDV'!$B:$B=AH$3)*('Autonomie 2023 LDV'!$D:$D=$AC5))</f>
        <v>28875.147840000001</v>
      </c>
      <c r="AI5" s="520">
        <f>($AK5-$AH5)/(4-1) + AH5</f>
        <v>27644.344560000001</v>
      </c>
      <c r="AJ5" s="520">
        <f>($AK5-$AH5)/(4-1) + AI5</f>
        <v>26413.541280000001</v>
      </c>
      <c r="AK5" s="520" cm="1">
        <f t="array" ref="AK5">_xlfn._xlws.FILTER('Autonomie 2023 LDV'!$G:$G, ('Autonomie 2023 LDV'!$A:$A="BEV150")*('Autonomie 2023 LDV'!$B:$B=AK$3)*('Autonomie 2023 LDV'!$D:$D=$AC5))</f>
        <v>25182.738000000001</v>
      </c>
      <c r="AS5" s="63"/>
    </row>
    <row r="6" spans="1:45" x14ac:dyDescent="0.25">
      <c r="K6" s="1044"/>
      <c r="M6" s="1044"/>
      <c r="N6" s="28" t="s">
        <v>1396</v>
      </c>
      <c r="P6" s="377"/>
      <c r="Q6" s="377"/>
      <c r="R6" s="377"/>
      <c r="S6" s="377"/>
      <c r="T6" s="377"/>
      <c r="V6" s="774" t="s">
        <v>1230</v>
      </c>
      <c r="W6" t="s">
        <v>1256</v>
      </c>
      <c r="X6" s="63"/>
      <c r="Z6" s="379" t="s">
        <v>2936</v>
      </c>
      <c r="AC6" s="17" t="s">
        <v>1473</v>
      </c>
      <c r="AD6" s="291">
        <f>Efficiency!AW64</f>
        <v>0.45499602314374388</v>
      </c>
      <c r="AE6" s="520" cm="1">
        <f t="array" ref="AE6">_xlfn._xlws.FILTER('Autonomie 2023 LDV'!$G:$G, ('Autonomie 2023 LDV'!$A:$A="BEV200")*('Autonomie 2023 LDV'!$B:$B=AE$3)*('Autonomie 2023 LDV'!$D:$D=$AC6))</f>
        <v>48384.533519999997</v>
      </c>
      <c r="AF6" s="520" cm="1">
        <f t="array" ref="AF6">_xlfn._xlws.FILTER('Autonomie 2023 LDV'!$G:$G, ('Autonomie 2023 LDV'!$A:$A="BEV200")*('Autonomie 2023 LDV'!$B:$B=AF$3)*('Autonomie 2023 LDV'!$D:$D=$AC6))</f>
        <v>45283.147199999999</v>
      </c>
      <c r="AG6" s="520" cm="1">
        <f t="array" ref="AG6">_xlfn._xlws.FILTER('Autonomie 2023 LDV'!$G:$G, ('Autonomie 2023 LDV'!$A:$A="BEV200")*('Autonomie 2023 LDV'!$B:$B=AG$3)*('Autonomie 2023 LDV'!$D:$D=$AC6))</f>
        <v>45563.601600000002</v>
      </c>
      <c r="AH6" s="520" cm="1">
        <f t="array" ref="AH6">_xlfn._xlws.FILTER('Autonomie 2023 LDV'!$G:$G, ('Autonomie 2023 LDV'!$A:$A="BEV200")*('Autonomie 2023 LDV'!$B:$B=AH$3)*('Autonomie 2023 LDV'!$D:$D=$AC6))</f>
        <v>42060.686399999999</v>
      </c>
      <c r="AI6" s="520">
        <f>($AK6-$AH6)/(4-1) + AH6</f>
        <v>39925.088640000002</v>
      </c>
      <c r="AJ6" s="520">
        <f>($AK6-$AH6)/(4-1) + AI6</f>
        <v>37789.490880000005</v>
      </c>
      <c r="AK6" s="520" cm="1">
        <f t="array" ref="AK6">_xlfn._xlws.FILTER('Autonomie 2023 LDV'!$G:$G, ('Autonomie 2023 LDV'!$A:$A="BEV200")*('Autonomie 2023 LDV'!$B:$B=AK$3)*('Autonomie 2023 LDV'!$D:$D=$AC6))</f>
        <v>35653.893120000001</v>
      </c>
      <c r="AS6" s="63"/>
    </row>
    <row r="7" spans="1:45" ht="15.75" thickBot="1" x14ac:dyDescent="0.3">
      <c r="K7" s="1044"/>
      <c r="M7" s="1044"/>
      <c r="N7" s="17" t="s">
        <v>1397</v>
      </c>
      <c r="O7" t="s">
        <v>1405</v>
      </c>
      <c r="P7" s="377"/>
      <c r="Q7" s="377"/>
      <c r="R7" s="377"/>
      <c r="S7" s="377"/>
      <c r="T7" s="377"/>
      <c r="V7" s="774" t="s">
        <v>1231</v>
      </c>
      <c r="W7" t="s">
        <v>1282</v>
      </c>
      <c r="X7" s="63"/>
      <c r="Z7" s="232" t="s">
        <v>1326</v>
      </c>
      <c r="AA7" s="88" t="s">
        <v>2677</v>
      </c>
      <c r="AC7" s="271" t="s">
        <v>2681</v>
      </c>
      <c r="AD7" s="293"/>
      <c r="AE7" s="767">
        <f>AE8</f>
        <v>58119.336000000003</v>
      </c>
      <c r="AF7" s="767">
        <f t="shared" ref="AF7:AK7" si="1">AF8</f>
        <v>53791.508159999998</v>
      </c>
      <c r="AG7" s="767">
        <f t="shared" si="1"/>
        <v>54585.16128</v>
      </c>
      <c r="AH7" s="767">
        <f t="shared" si="1"/>
        <v>50544</v>
      </c>
      <c r="AI7" s="767">
        <f t="shared" si="1"/>
        <v>47894.919840000002</v>
      </c>
      <c r="AJ7" s="767">
        <f t="shared" si="1"/>
        <v>45245.839680000005</v>
      </c>
      <c r="AK7" s="767">
        <f t="shared" si="1"/>
        <v>42596.75952</v>
      </c>
      <c r="AS7" s="63"/>
    </row>
    <row r="8" spans="1:45" ht="15.75" thickTop="1" x14ac:dyDescent="0.25">
      <c r="K8" s="1044"/>
      <c r="M8" s="1044"/>
      <c r="N8" s="17" t="s">
        <v>1400</v>
      </c>
      <c r="O8" t="s">
        <v>1401</v>
      </c>
      <c r="P8" s="377"/>
      <c r="Q8" s="377"/>
      <c r="R8" s="377"/>
      <c r="S8" s="377"/>
      <c r="T8" s="377"/>
      <c r="V8" s="774" t="s">
        <v>1232</v>
      </c>
      <c r="W8" t="s">
        <v>1257</v>
      </c>
      <c r="X8" s="63" t="s">
        <v>1284</v>
      </c>
      <c r="Z8" s="64" t="s">
        <v>2678</v>
      </c>
      <c r="AA8" s="750">
        <f>'Background Data'!AW39/'Background Data'!AW32</f>
        <v>0.38714042876437882</v>
      </c>
      <c r="AC8" s="17" t="s">
        <v>1475</v>
      </c>
      <c r="AD8" s="291">
        <v>1</v>
      </c>
      <c r="AE8" s="520" cm="1">
        <f t="array" ref="AE8">_xlfn._xlws.FILTER('Autonomie 2023 LDV'!$G:$G, ('Autonomie 2023 LDV'!$A:$A="BEV200")*('Autonomie 2023 LDV'!$B:$B=AE$3)*('Autonomie 2023 LDV'!$D:$D=$AC8))</f>
        <v>58119.336000000003</v>
      </c>
      <c r="AF8" s="520" cm="1">
        <f t="array" ref="AF8">_xlfn._xlws.FILTER('Autonomie 2023 LDV'!$G:$G, ('Autonomie 2023 LDV'!$A:$A="BEV200")*('Autonomie 2023 LDV'!$B:$B=AF$3)*('Autonomie 2023 LDV'!$D:$D=$AC8))</f>
        <v>53791.508159999998</v>
      </c>
      <c r="AG8" s="520" cm="1">
        <f t="array" ref="AG8">_xlfn._xlws.FILTER('Autonomie 2023 LDV'!$G:$G, ('Autonomie 2023 LDV'!$A:$A="BEV200")*('Autonomie 2023 LDV'!$B:$B=AG$3)*('Autonomie 2023 LDV'!$D:$D=$AC8))</f>
        <v>54585.16128</v>
      </c>
      <c r="AH8" s="520" cm="1">
        <f t="array" ref="AH8">_xlfn._xlws.FILTER('Autonomie 2023 LDV'!$G:$G, ('Autonomie 2023 LDV'!$A:$A="BEV200")*('Autonomie 2023 LDV'!$B:$B=AH$3)*('Autonomie 2023 LDV'!$D:$D=$AC8))</f>
        <v>50544</v>
      </c>
      <c r="AI8" s="520">
        <f>($AK8-$AH8)/(4-1) + AH8</f>
        <v>47894.919840000002</v>
      </c>
      <c r="AJ8" s="520">
        <f>($AK8-$AH8)/(4-1) + AI8</f>
        <v>45245.839680000005</v>
      </c>
      <c r="AK8" s="520" cm="1">
        <f t="array" ref="AK8">_xlfn._xlws.FILTER('Autonomie 2023 LDV'!$G:$G, ('Autonomie 2023 LDV'!$A:$A="BEV200")*('Autonomie 2023 LDV'!$B:$B=AK$3)*('Autonomie 2023 LDV'!$D:$D=$AC8))</f>
        <v>42596.75952</v>
      </c>
      <c r="AS8" s="63"/>
    </row>
    <row r="9" spans="1:45" ht="18" x14ac:dyDescent="0.35">
      <c r="K9" s="1044"/>
      <c r="M9" s="1044"/>
      <c r="N9" s="17" t="s">
        <v>1402</v>
      </c>
      <c r="O9" t="s">
        <v>1493</v>
      </c>
      <c r="P9" s="377"/>
      <c r="Q9" s="377"/>
      <c r="R9" s="377"/>
      <c r="S9" s="377"/>
      <c r="T9" s="377"/>
      <c r="V9" s="774" t="s">
        <v>1233</v>
      </c>
      <c r="W9" t="s">
        <v>1258</v>
      </c>
      <c r="X9" s="63"/>
      <c r="Z9" s="64" t="s">
        <v>2679</v>
      </c>
      <c r="AA9" s="750">
        <f>'Background Data'!AW46/'Background Data'!AW32</f>
        <v>0.39883355544181787</v>
      </c>
      <c r="AC9" s="271" t="s">
        <v>2693</v>
      </c>
      <c r="AD9" s="293"/>
      <c r="AE9" s="767">
        <f>AE10*$AD10+AE11*$AD11</f>
        <v>100859.04688905872</v>
      </c>
      <c r="AF9" s="767">
        <f t="shared" ref="AF9" si="2">AF10*$AD10+AF11*$AD11</f>
        <v>96436.664842453465</v>
      </c>
      <c r="AG9" s="767">
        <f t="shared" ref="AG9" si="3">AG10*$AD10+AG11*$AD11</f>
        <v>94163.323606926628</v>
      </c>
      <c r="AH9" s="767">
        <f t="shared" ref="AH9" si="4">AH10*$AD10+AH11*$AD11</f>
        <v>86347.322339009756</v>
      </c>
      <c r="AI9" s="767">
        <f t="shared" ref="AI9" si="5">AI10*$AD10+AI11*$AD11</f>
        <v>82045.896293581915</v>
      </c>
      <c r="AJ9" s="767">
        <f t="shared" ref="AJ9" si="6">AJ10*$AD10+AJ11*$AD11</f>
        <v>77744.470248154088</v>
      </c>
      <c r="AK9" s="767">
        <f t="shared" ref="AK9" si="7">AK10*$AD10+AK11*$AD11</f>
        <v>73443.044202726247</v>
      </c>
      <c r="AS9" s="63"/>
    </row>
    <row r="10" spans="1:45" x14ac:dyDescent="0.25">
      <c r="K10" s="1044"/>
      <c r="M10" s="1044"/>
      <c r="N10" s="17" t="s">
        <v>1403</v>
      </c>
      <c r="O10" t="s">
        <v>2160</v>
      </c>
      <c r="P10" s="377">
        <v>3</v>
      </c>
      <c r="Q10" s="377">
        <v>2</v>
      </c>
      <c r="R10" s="377">
        <v>1</v>
      </c>
      <c r="S10" s="377">
        <v>2</v>
      </c>
      <c r="T10" s="377">
        <v>1</v>
      </c>
      <c r="V10" s="774" t="s">
        <v>1234</v>
      </c>
      <c r="W10" t="s">
        <v>1269</v>
      </c>
      <c r="X10" s="63" t="s">
        <v>1268</v>
      </c>
      <c r="Z10" s="768" t="s">
        <v>2680</v>
      </c>
      <c r="AA10" s="282">
        <f>('Background Data'!AW53+'Background Data'!AW60)/'Background Data'!AW32</f>
        <v>0.21392221182849186</v>
      </c>
      <c r="AC10" s="17" t="s">
        <v>1476</v>
      </c>
      <c r="AD10" s="291">
        <f>Efficiency!AW67/SUM(Efficiency!AW67:AW68)</f>
        <v>0.34190576372012044</v>
      </c>
      <c r="AE10" s="520" cm="1">
        <f t="array" ref="AE10">_xlfn._xlws.FILTER('Autonomie 2023 LDV'!$G:$G, ('Autonomie 2023 LDV'!$A:$A="BEV200")*('Autonomie 2023 LDV'!$B:$B=AE$3)*('Autonomie 2023 LDV'!$D:$D=$AC10))</f>
        <v>64373.456160000002</v>
      </c>
      <c r="AF10" s="520" cm="1">
        <f t="array" ref="AF10">_xlfn._xlws.FILTER('Autonomie 2023 LDV'!$G:$G, ('Autonomie 2023 LDV'!$A:$A="BEV200")*('Autonomie 2023 LDV'!$B:$B=AF$3)*('Autonomie 2023 LDV'!$D:$D=$AC10))</f>
        <v>59374.004399999998</v>
      </c>
      <c r="AG10" s="520" cm="1">
        <f t="array" ref="AG10">_xlfn._xlws.FILTER('Autonomie 2023 LDV'!$G:$G, ('Autonomie 2023 LDV'!$A:$A="BEV200")*('Autonomie 2023 LDV'!$B:$B=AG$3)*('Autonomie 2023 LDV'!$D:$D=$AC10))</f>
        <v>59907.483359999998</v>
      </c>
      <c r="AH10" s="520" cm="1">
        <f t="array" ref="AH10">_xlfn._xlws.FILTER('Autonomie 2023 LDV'!$G:$G, ('Autonomie 2023 LDV'!$A:$A="BEV200")*('Autonomie 2023 LDV'!$B:$B=AH$3)*('Autonomie 2023 LDV'!$D:$D=$AC10))</f>
        <v>55563.356160000003</v>
      </c>
      <c r="AI10" s="520">
        <f t="shared" ref="AI10:AJ10" si="8">($AK10-$AH10)/(4-1) + AH10</f>
        <v>52368.716160000004</v>
      </c>
      <c r="AJ10" s="520">
        <f t="shared" si="8"/>
        <v>49174.076160000004</v>
      </c>
      <c r="AK10" s="520" cm="1">
        <f t="array" ref="AK10">_xlfn._xlws.FILTER('Autonomie 2023 LDV'!$G:$G, ('Autonomie 2023 LDV'!$A:$A="BEV200")*('Autonomie 2023 LDV'!$B:$B=AK$3)*('Autonomie 2023 LDV'!$D:$D=$AC10))</f>
        <v>45979.436159999997</v>
      </c>
      <c r="AS10" s="63"/>
    </row>
    <row r="11" spans="1:45" x14ac:dyDescent="0.25">
      <c r="K11" s="1044"/>
      <c r="M11" s="1044"/>
      <c r="N11" s="17" t="s">
        <v>1404</v>
      </c>
      <c r="O11" t="s">
        <v>2161</v>
      </c>
      <c r="P11" s="377">
        <v>1</v>
      </c>
      <c r="Q11" s="377">
        <v>1</v>
      </c>
      <c r="R11" s="377">
        <v>1</v>
      </c>
      <c r="S11" s="377">
        <v>1</v>
      </c>
      <c r="T11" s="377">
        <v>1</v>
      </c>
      <c r="V11" s="774" t="s">
        <v>1235</v>
      </c>
      <c r="W11" t="s">
        <v>1259</v>
      </c>
      <c r="X11" s="63"/>
      <c r="Z11" s="64"/>
      <c r="AA11" s="752">
        <f>SUM(AA8:AA10)</f>
        <v>0.9998961960346886</v>
      </c>
      <c r="AC11" s="17" t="s">
        <v>930</v>
      </c>
      <c r="AD11" s="291">
        <f>Efficiency!AW68/SUM(Efficiency!AW67:AW68)</f>
        <v>0.65809423627987951</v>
      </c>
      <c r="AE11" s="520" cm="1">
        <f t="array" ref="AE11">_xlfn._xlws.FILTER('Autonomie 2023 LDV'!$G:$G, ('Autonomie 2023 LDV'!$A:$A="BEV300")*('Autonomie 2023 LDV'!$B:$B=AE$3)*('Autonomie 2023 LDV'!$D:$D=$AC11))</f>
        <v>119814.7421</v>
      </c>
      <c r="AF11" s="520" cm="1">
        <f t="array" ref="AF11">_xlfn._xlws.FILTER('Autonomie 2023 LDV'!$G:$G, ('Autonomie 2023 LDV'!$A:$A="BEV300")*('Autonomie 2023 LDV'!$B:$B=AF$3)*('Autonomie 2023 LDV'!$D:$D=$AC11))</f>
        <v>115692.1704</v>
      </c>
      <c r="AG11" s="520" cm="1">
        <f t="array" ref="AG11">_xlfn._xlws.FILTER('Autonomie 2023 LDV'!$G:$G, ('Autonomie 2023 LDV'!$A:$A="BEV300")*('Autonomie 2023 LDV'!$B:$B=AG$3)*('Autonomie 2023 LDV'!$D:$D=$AC11))</f>
        <v>111960.576</v>
      </c>
      <c r="AH11" s="520" cm="1">
        <f t="array" ref="AH11">_xlfn._xlws.FILTER('Autonomie 2023 LDV'!$G:$G, ('Autonomie 2023 LDV'!$A:$A="BEV300")*('Autonomie 2023 LDV'!$B:$B=AH$3)*('Autonomie 2023 LDV'!$D:$D=$AC11))</f>
        <v>102340.8</v>
      </c>
      <c r="AI11" s="520">
        <f t="shared" ref="AI11:AJ11" si="9">($AK11-$AH11)/(4-1) + AH11</f>
        <v>97464.355200000005</v>
      </c>
      <c r="AJ11" s="520">
        <f t="shared" si="9"/>
        <v>92587.910400000008</v>
      </c>
      <c r="AK11" s="520" cm="1">
        <f t="array" ref="AK11">_xlfn._xlws.FILTER('Autonomie 2023 LDV'!$G:$G, ('Autonomie 2023 LDV'!$A:$A="BEV300")*('Autonomie 2023 LDV'!$B:$B=AK$3)*('Autonomie 2023 LDV'!$D:$D=$AC11))</f>
        <v>87711.465599999996</v>
      </c>
      <c r="AS11" s="63"/>
    </row>
    <row r="12" spans="1:45" x14ac:dyDescent="0.25">
      <c r="K12" s="1044"/>
      <c r="M12" s="1044"/>
      <c r="N12" s="17" t="s">
        <v>1406</v>
      </c>
      <c r="O12" t="s">
        <v>2162</v>
      </c>
      <c r="P12" s="377"/>
      <c r="Q12" s="377"/>
      <c r="R12" s="377"/>
      <c r="S12" s="377"/>
      <c r="T12" s="377"/>
      <c r="V12" s="774" t="s">
        <v>1236</v>
      </c>
      <c r="W12" t="s">
        <v>1260</v>
      </c>
      <c r="X12" s="63"/>
      <c r="Z12" s="64"/>
      <c r="AC12" s="77" t="s">
        <v>4242</v>
      </c>
      <c r="AS12" s="63"/>
    </row>
    <row r="13" spans="1:45" x14ac:dyDescent="0.25">
      <c r="K13" s="1044"/>
      <c r="M13" s="1044"/>
      <c r="N13" s="17" t="s">
        <v>1408</v>
      </c>
      <c r="O13" t="s">
        <v>1407</v>
      </c>
      <c r="P13" s="377"/>
      <c r="Q13" s="377"/>
      <c r="R13" s="377"/>
      <c r="S13" s="377"/>
      <c r="T13" s="377"/>
      <c r="V13" s="774" t="s">
        <v>1237</v>
      </c>
      <c r="W13" t="s">
        <v>1261</v>
      </c>
      <c r="X13" s="63" t="s">
        <v>1277</v>
      </c>
      <c r="Z13" s="64"/>
      <c r="AC13" s="77"/>
      <c r="AS13" s="63"/>
    </row>
    <row r="14" spans="1:45" ht="15.75" x14ac:dyDescent="0.25">
      <c r="K14" s="1044"/>
      <c r="M14" s="1044"/>
      <c r="N14" s="17" t="s">
        <v>1409</v>
      </c>
      <c r="O14" t="s">
        <v>1491</v>
      </c>
      <c r="P14" s="377">
        <v>5</v>
      </c>
      <c r="Q14" s="377">
        <v>1</v>
      </c>
      <c r="R14" s="377">
        <v>1</v>
      </c>
      <c r="S14" s="377">
        <v>1</v>
      </c>
      <c r="T14" s="377">
        <v>1</v>
      </c>
      <c r="V14" s="774" t="s">
        <v>1238</v>
      </c>
      <c r="W14" t="s">
        <v>1262</v>
      </c>
      <c r="X14" s="63" t="s">
        <v>1283</v>
      </c>
      <c r="Z14" s="313" t="s">
        <v>2009</v>
      </c>
      <c r="AH14" s="159" t="s">
        <v>4241</v>
      </c>
      <c r="AS14" s="63"/>
    </row>
    <row r="15" spans="1:45" ht="15.75" thickBot="1" x14ac:dyDescent="0.3">
      <c r="K15" s="1044"/>
      <c r="M15" s="1044"/>
      <c r="N15" s="17" t="s">
        <v>1410</v>
      </c>
      <c r="O15" t="s">
        <v>1492</v>
      </c>
      <c r="P15" s="377">
        <v>1</v>
      </c>
      <c r="Q15" s="377">
        <v>1</v>
      </c>
      <c r="R15" s="377">
        <v>1</v>
      </c>
      <c r="S15" s="377">
        <v>3</v>
      </c>
      <c r="T15" s="377">
        <v>1</v>
      </c>
      <c r="V15" s="774" t="s">
        <v>1239</v>
      </c>
      <c r="W15" t="s">
        <v>1263</v>
      </c>
      <c r="X15" s="63" t="s">
        <v>1285</v>
      </c>
      <c r="Z15" s="232" t="s">
        <v>1331</v>
      </c>
      <c r="AA15" s="88" t="s">
        <v>1332</v>
      </c>
      <c r="AB15" s="88" t="s">
        <v>1327</v>
      </c>
      <c r="AC15" s="88" t="s">
        <v>122</v>
      </c>
      <c r="AH15" s="88" t="s">
        <v>1326</v>
      </c>
      <c r="AI15" s="88" t="s">
        <v>1484</v>
      </c>
      <c r="AJ15" s="88">
        <v>2023</v>
      </c>
      <c r="AS15" s="63"/>
    </row>
    <row r="16" spans="1:45" ht="15.75" thickTop="1" x14ac:dyDescent="0.25">
      <c r="K16" s="1044"/>
      <c r="M16" s="1044"/>
      <c r="N16" s="28" t="s">
        <v>1411</v>
      </c>
      <c r="P16" s="377"/>
      <c r="Q16" s="377"/>
      <c r="R16" s="377"/>
      <c r="S16" s="377"/>
      <c r="T16" s="377"/>
      <c r="V16" s="774" t="s">
        <v>1240</v>
      </c>
      <c r="W16" t="s">
        <v>1270</v>
      </c>
      <c r="X16" s="63" t="s">
        <v>1284</v>
      </c>
      <c r="Z16" s="64" t="s">
        <v>2004</v>
      </c>
      <c r="AA16" s="65">
        <v>7399200</v>
      </c>
      <c r="AB16" s="750">
        <f>AA16/$AA$19</f>
        <v>0.62796485562672788</v>
      </c>
      <c r="AC16" s="751" t="s">
        <v>1334</v>
      </c>
      <c r="AH16" s="28" t="s">
        <v>1328</v>
      </c>
      <c r="AS16" s="63"/>
    </row>
    <row r="17" spans="11:45" ht="15.75" thickBot="1" x14ac:dyDescent="0.3">
      <c r="K17" s="1044"/>
      <c r="M17" s="1044"/>
      <c r="N17" s="17" t="s">
        <v>1412</v>
      </c>
      <c r="O17" t="s">
        <v>2011</v>
      </c>
      <c r="P17" s="377">
        <v>1</v>
      </c>
      <c r="Q17" s="377">
        <v>1</v>
      </c>
      <c r="R17" s="377">
        <v>1</v>
      </c>
      <c r="S17" s="377">
        <v>1</v>
      </c>
      <c r="T17" s="377">
        <v>1</v>
      </c>
      <c r="V17" s="774" t="s">
        <v>1241</v>
      </c>
      <c r="W17" t="s">
        <v>1281</v>
      </c>
      <c r="X17" s="63" t="s">
        <v>1279</v>
      </c>
      <c r="Z17" s="64" t="s">
        <v>2008</v>
      </c>
      <c r="AA17" s="65">
        <v>1613535</v>
      </c>
      <c r="AB17" s="750">
        <f>AA17/$AA$19</f>
        <v>0.13693957094330095</v>
      </c>
      <c r="AC17" s="751" t="s">
        <v>2010</v>
      </c>
      <c r="AH17" s="17" t="s">
        <v>1485</v>
      </c>
      <c r="AI17">
        <v>0.26</v>
      </c>
      <c r="AJ17" s="297">
        <v>0.19</v>
      </c>
      <c r="AK17" s="73"/>
      <c r="AL17" s="73"/>
      <c r="AM17" s="73"/>
      <c r="AN17" s="73"/>
      <c r="AO17" s="73">
        <v>0.19</v>
      </c>
      <c r="AP17" s="73">
        <v>-12</v>
      </c>
      <c r="AQ17">
        <v>500</v>
      </c>
      <c r="AS17" s="52"/>
    </row>
    <row r="18" spans="11:45" ht="17.25" x14ac:dyDescent="0.25">
      <c r="K18" s="1044"/>
      <c r="M18" s="1044"/>
      <c r="N18" s="17" t="s">
        <v>1413</v>
      </c>
      <c r="O18" t="s">
        <v>2012</v>
      </c>
      <c r="P18" s="377">
        <v>1</v>
      </c>
      <c r="Q18" s="377">
        <v>1</v>
      </c>
      <c r="R18" s="377">
        <v>1</v>
      </c>
      <c r="S18" s="377">
        <v>1</v>
      </c>
      <c r="T18" s="377">
        <v>1</v>
      </c>
      <c r="V18" s="774" t="s">
        <v>1242</v>
      </c>
      <c r="W18" t="s">
        <v>1280</v>
      </c>
      <c r="X18" s="63" t="s">
        <v>1279</v>
      </c>
      <c r="Z18" s="768" t="s">
        <v>2007</v>
      </c>
      <c r="AA18" s="20">
        <f>AA19-AA17-AA16</f>
        <v>2770090</v>
      </c>
      <c r="AB18" s="282">
        <f>AA18/$AA$19</f>
        <v>0.23509557342997117</v>
      </c>
      <c r="AC18" s="202" t="s">
        <v>1333</v>
      </c>
      <c r="AH18" s="17" t="s">
        <v>1486</v>
      </c>
      <c r="AI18">
        <v>-13</v>
      </c>
      <c r="AJ18" s="830">
        <v>-12</v>
      </c>
      <c r="AK18" s="73"/>
      <c r="AL18" s="294" t="s">
        <v>1488</v>
      </c>
      <c r="AM18" s="295"/>
      <c r="AN18" s="73"/>
      <c r="AO18" s="73"/>
      <c r="AP18" s="73"/>
      <c r="AS18" s="52"/>
    </row>
    <row r="19" spans="11:45" x14ac:dyDescent="0.25">
      <c r="K19" s="1044"/>
      <c r="M19" s="1044"/>
      <c r="N19" s="17" t="s">
        <v>1414</v>
      </c>
      <c r="O19" t="s">
        <v>1820</v>
      </c>
      <c r="P19" s="377">
        <v>1</v>
      </c>
      <c r="Q19" s="377">
        <v>1</v>
      </c>
      <c r="R19" s="377">
        <v>1</v>
      </c>
      <c r="S19" s="377">
        <v>1</v>
      </c>
      <c r="T19" s="377">
        <v>1</v>
      </c>
      <c r="V19" s="774" t="s">
        <v>1243</v>
      </c>
      <c r="W19" t="s">
        <v>1418</v>
      </c>
      <c r="X19" s="63"/>
      <c r="Z19" s="64" t="s">
        <v>2006</v>
      </c>
      <c r="AA19" s="65">
        <v>11782825</v>
      </c>
      <c r="AB19" s="442">
        <v>1</v>
      </c>
      <c r="AC19" s="751" t="s">
        <v>1334</v>
      </c>
      <c r="AH19" s="17" t="s">
        <v>1487</v>
      </c>
      <c r="AI19">
        <v>400</v>
      </c>
      <c r="AJ19" s="830">
        <v>500</v>
      </c>
      <c r="AK19" s="73"/>
      <c r="AL19" s="64" t="s">
        <v>1489</v>
      </c>
      <c r="AM19" s="63"/>
      <c r="AN19" s="73"/>
      <c r="AO19" s="73"/>
      <c r="AP19" s="73"/>
      <c r="AS19" s="52"/>
    </row>
    <row r="20" spans="11:45" ht="15.75" thickBot="1" x14ac:dyDescent="0.3">
      <c r="K20" s="1044"/>
      <c r="M20" s="1044"/>
      <c r="N20" s="17" t="s">
        <v>1415</v>
      </c>
      <c r="O20" t="s">
        <v>1820</v>
      </c>
      <c r="P20" s="377">
        <v>1</v>
      </c>
      <c r="Q20" s="377">
        <v>1</v>
      </c>
      <c r="R20" s="377">
        <v>1</v>
      </c>
      <c r="S20" s="377">
        <v>1</v>
      </c>
      <c r="T20" s="377">
        <v>1</v>
      </c>
      <c r="V20" s="774" t="s">
        <v>1244</v>
      </c>
      <c r="W20" t="s">
        <v>1271</v>
      </c>
      <c r="X20" s="63"/>
      <c r="Z20" s="769" t="s">
        <v>2005</v>
      </c>
      <c r="AH20" s="28" t="s">
        <v>1329</v>
      </c>
      <c r="AJ20" s="73"/>
      <c r="AK20" s="73"/>
      <c r="AL20" s="67" t="s">
        <v>1490</v>
      </c>
      <c r="AM20" s="296"/>
      <c r="AN20" s="73"/>
      <c r="AO20" s="73"/>
      <c r="AP20" s="73"/>
      <c r="AS20" s="52"/>
    </row>
    <row r="21" spans="11:45" x14ac:dyDescent="0.25">
      <c r="K21" s="1044"/>
      <c r="M21" s="1044"/>
      <c r="N21" s="17" t="s">
        <v>1416</v>
      </c>
      <c r="O21" t="s">
        <v>1820</v>
      </c>
      <c r="P21" s="377">
        <v>1</v>
      </c>
      <c r="Q21" s="377">
        <v>1</v>
      </c>
      <c r="R21" s="377">
        <v>1</v>
      </c>
      <c r="S21" s="377">
        <v>1</v>
      </c>
      <c r="T21" s="377">
        <v>1</v>
      </c>
      <c r="V21" s="774" t="s">
        <v>1245</v>
      </c>
      <c r="W21" t="s">
        <v>1272</v>
      </c>
      <c r="X21" s="63"/>
      <c r="Z21" s="64"/>
      <c r="AH21" s="17" t="s">
        <v>1485</v>
      </c>
      <c r="AI21">
        <v>0.3</v>
      </c>
      <c r="AJ21" s="297">
        <v>0.23</v>
      </c>
      <c r="AK21" s="73"/>
      <c r="AL21" s="73"/>
      <c r="AM21" s="73"/>
      <c r="AN21" s="73"/>
      <c r="AO21" s="73">
        <v>0.23</v>
      </c>
      <c r="AP21" s="73">
        <v>-15.5</v>
      </c>
      <c r="AQ21">
        <v>675</v>
      </c>
      <c r="AR21" s="214"/>
      <c r="AS21" s="831"/>
    </row>
    <row r="22" spans="11:45" x14ac:dyDescent="0.25">
      <c r="K22" s="1044"/>
      <c r="M22" s="1044"/>
      <c r="N22" s="17" t="s">
        <v>1417</v>
      </c>
      <c r="O22" t="s">
        <v>1820</v>
      </c>
      <c r="P22" s="377">
        <v>1</v>
      </c>
      <c r="Q22" s="377">
        <v>1</v>
      </c>
      <c r="R22" s="377">
        <v>1</v>
      </c>
      <c r="S22" s="377">
        <v>1</v>
      </c>
      <c r="T22" s="377">
        <v>1</v>
      </c>
      <c r="V22" s="774" t="s">
        <v>1246</v>
      </c>
      <c r="W22" t="s">
        <v>1273</v>
      </c>
      <c r="X22" s="63"/>
      <c r="Z22" s="379" t="s">
        <v>2676</v>
      </c>
      <c r="AD22" s="28" t="s">
        <v>1383</v>
      </c>
      <c r="AH22" s="17" t="s">
        <v>1486</v>
      </c>
      <c r="AI22">
        <v>-14</v>
      </c>
      <c r="AJ22" s="830">
        <v>-15.5</v>
      </c>
      <c r="AK22" s="73"/>
      <c r="AL22" s="73"/>
      <c r="AM22" s="73"/>
      <c r="AN22" s="73"/>
      <c r="AO22" s="73"/>
      <c r="AP22" s="73"/>
      <c r="AR22" s="214"/>
      <c r="AS22" s="831"/>
    </row>
    <row r="23" spans="11:45" ht="15.75" thickBot="1" x14ac:dyDescent="0.3">
      <c r="K23" s="1044"/>
      <c r="M23" s="1044"/>
      <c r="P23" s="377"/>
      <c r="Q23" s="377"/>
      <c r="R23" s="377"/>
      <c r="S23" s="377"/>
      <c r="T23" s="377"/>
      <c r="V23" s="774" t="s">
        <v>1247</v>
      </c>
      <c r="W23" t="s">
        <v>1274</v>
      </c>
      <c r="X23" s="63"/>
      <c r="Z23" s="232" t="s">
        <v>1331</v>
      </c>
      <c r="AA23" s="88" t="s">
        <v>1332</v>
      </c>
      <c r="AB23" s="88" t="s">
        <v>1327</v>
      </c>
      <c r="AD23" s="88" t="s">
        <v>1331</v>
      </c>
      <c r="AE23" s="88" t="s">
        <v>1332</v>
      </c>
      <c r="AF23" s="88" t="s">
        <v>1327</v>
      </c>
      <c r="AH23" s="17" t="s">
        <v>1487</v>
      </c>
      <c r="AI23">
        <v>650</v>
      </c>
      <c r="AJ23" s="830">
        <v>675</v>
      </c>
      <c r="AK23" s="73"/>
      <c r="AL23" s="73"/>
      <c r="AM23" s="73"/>
      <c r="AN23" s="73"/>
      <c r="AO23" s="73"/>
      <c r="AP23" s="73"/>
      <c r="AR23" s="214"/>
      <c r="AS23" s="831"/>
    </row>
    <row r="24" spans="11:45" ht="15.75" thickTop="1" x14ac:dyDescent="0.25">
      <c r="K24" s="1044"/>
      <c r="M24" s="1044"/>
      <c r="V24" s="774" t="s">
        <v>1248</v>
      </c>
      <c r="W24" t="s">
        <v>1275</v>
      </c>
      <c r="X24" s="63"/>
      <c r="Z24" s="64" t="s">
        <v>1379</v>
      </c>
      <c r="AA24" s="65">
        <v>159239</v>
      </c>
      <c r="AB24" s="748">
        <f>AA24/$AA$27</f>
        <v>0.46073166638697766</v>
      </c>
      <c r="AD24" t="s">
        <v>1379</v>
      </c>
      <c r="AE24" s="65">
        <v>214782</v>
      </c>
      <c r="AF24" s="40">
        <f>AE24/$AE$27</f>
        <v>0.43644853925825977</v>
      </c>
      <c r="AH24" s="28" t="s">
        <v>1330</v>
      </c>
      <c r="AJ24" s="73"/>
      <c r="AK24" s="73"/>
      <c r="AL24" s="73"/>
      <c r="AM24" s="73"/>
      <c r="AN24" s="73"/>
      <c r="AO24" s="73"/>
      <c r="AP24" s="73"/>
      <c r="AR24" s="214"/>
      <c r="AS24" s="831"/>
    </row>
    <row r="25" spans="11:45" x14ac:dyDescent="0.25">
      <c r="K25" s="1044"/>
      <c r="M25" s="1044"/>
      <c r="V25" s="774" t="s">
        <v>1249</v>
      </c>
      <c r="W25" t="s">
        <v>1276</v>
      </c>
      <c r="X25" s="63"/>
      <c r="Z25" s="64" t="s">
        <v>1380</v>
      </c>
      <c r="AA25" s="65">
        <v>4917</v>
      </c>
      <c r="AB25" s="748">
        <f>AA25/$AA$27</f>
        <v>1.4226524931861976E-2</v>
      </c>
      <c r="AD25" t="s">
        <v>1380</v>
      </c>
      <c r="AE25" s="65">
        <v>7564</v>
      </c>
      <c r="AF25" s="40">
        <f>AE25/$AE$27</f>
        <v>1.5370453534046043E-2</v>
      </c>
      <c r="AH25" s="17" t="s">
        <v>1485</v>
      </c>
      <c r="AI25">
        <v>0.35</v>
      </c>
      <c r="AJ25" s="297">
        <v>0.27</v>
      </c>
      <c r="AK25" s="73"/>
      <c r="AL25" s="73"/>
      <c r="AM25" s="73"/>
      <c r="AN25" s="73"/>
      <c r="AO25" s="73">
        <v>0.27</v>
      </c>
      <c r="AP25" s="73">
        <v>-18</v>
      </c>
      <c r="AQ25">
        <v>900</v>
      </c>
      <c r="AS25" s="63"/>
    </row>
    <row r="26" spans="11:45" x14ac:dyDescent="0.25">
      <c r="K26" s="1044"/>
      <c r="M26" s="1044"/>
      <c r="V26" s="774" t="s">
        <v>1250</v>
      </c>
      <c r="W26" t="s">
        <v>1264</v>
      </c>
      <c r="X26" s="63"/>
      <c r="Z26" s="768" t="s">
        <v>1381</v>
      </c>
      <c r="AA26" s="20">
        <f>AA27-AA24-AA25</f>
        <v>181466</v>
      </c>
      <c r="AB26" s="368">
        <f>AA26/$AA$27</f>
        <v>0.52504180868116035</v>
      </c>
      <c r="AD26" s="202" t="s">
        <v>1381</v>
      </c>
      <c r="AE26" s="20">
        <f>AE27-AE24-AE25</f>
        <v>269767</v>
      </c>
      <c r="AF26" s="32">
        <f>AE26/$AE$27</f>
        <v>0.54818100720769414</v>
      </c>
      <c r="AH26" s="17" t="s">
        <v>1486</v>
      </c>
      <c r="AI26">
        <v>-15.2</v>
      </c>
      <c r="AJ26" s="830">
        <v>-18</v>
      </c>
      <c r="AK26" s="73"/>
      <c r="AL26" s="73"/>
      <c r="AM26" s="73"/>
      <c r="AN26" s="73"/>
      <c r="AO26" s="73"/>
      <c r="AP26" s="73"/>
      <c r="AS26" s="63"/>
    </row>
    <row r="27" spans="11:45" x14ac:dyDescent="0.25">
      <c r="K27" s="1044"/>
      <c r="M27" s="1044"/>
      <c r="V27" s="774" t="s">
        <v>1251</v>
      </c>
      <c r="W27" t="s">
        <v>1265</v>
      </c>
      <c r="X27" s="63" t="s">
        <v>1278</v>
      </c>
      <c r="Z27" s="64" t="s">
        <v>1382</v>
      </c>
      <c r="AA27" s="65">
        <v>345622</v>
      </c>
      <c r="AB27" s="442">
        <f>SUM(AB24:AB26)</f>
        <v>1</v>
      </c>
      <c r="AD27" t="s">
        <v>1382</v>
      </c>
      <c r="AE27" s="65">
        <v>492113</v>
      </c>
      <c r="AF27" s="442">
        <f>SUM(AF24:AF26)</f>
        <v>1</v>
      </c>
      <c r="AH27" s="17" t="s">
        <v>1487</v>
      </c>
      <c r="AI27">
        <v>900</v>
      </c>
      <c r="AJ27" s="830">
        <v>900</v>
      </c>
      <c r="AK27" s="73"/>
      <c r="AL27" s="73"/>
      <c r="AM27" s="73"/>
      <c r="AN27" s="73"/>
      <c r="AO27" s="73"/>
      <c r="AP27" s="73"/>
      <c r="AS27" s="63"/>
    </row>
    <row r="28" spans="11:45" x14ac:dyDescent="0.25">
      <c r="K28" s="1044"/>
      <c r="M28" s="1044"/>
      <c r="V28" s="774" t="s">
        <v>1252</v>
      </c>
      <c r="W28" t="s">
        <v>1266</v>
      </c>
      <c r="X28" s="63"/>
      <c r="Z28" s="64"/>
      <c r="AS28" s="63"/>
    </row>
    <row r="29" spans="11:45" ht="15.75" x14ac:dyDescent="0.25">
      <c r="K29" s="1044"/>
      <c r="M29" s="1044"/>
      <c r="V29" s="774" t="s">
        <v>1253</v>
      </c>
      <c r="W29" t="s">
        <v>130</v>
      </c>
      <c r="X29" s="63" t="s">
        <v>1286</v>
      </c>
      <c r="Z29" s="1070" t="s">
        <v>1834</v>
      </c>
      <c r="AA29" s="1045"/>
      <c r="AB29" s="1045"/>
      <c r="AC29" s="1045"/>
      <c r="AD29" s="1045"/>
      <c r="AH29" s="534" t="s">
        <v>1835</v>
      </c>
      <c r="AI29" s="28"/>
      <c r="AJ29" s="28"/>
      <c r="AK29" s="28"/>
      <c r="AL29" s="28"/>
      <c r="AM29" s="28"/>
      <c r="AN29" s="28"/>
      <c r="AS29" s="63"/>
    </row>
    <row r="30" spans="11:45" ht="15.75" thickBot="1" x14ac:dyDescent="0.3">
      <c r="K30" s="1044"/>
      <c r="M30" s="1044"/>
      <c r="V30" s="774" t="s">
        <v>1335</v>
      </c>
      <c r="W30" t="s">
        <v>1336</v>
      </c>
      <c r="X30" s="63"/>
      <c r="Z30" s="1075" t="s">
        <v>1439</v>
      </c>
      <c r="AA30" s="1" t="s">
        <v>1440</v>
      </c>
      <c r="AB30" s="1039" t="s">
        <v>1421</v>
      </c>
      <c r="AC30" s="1039"/>
      <c r="AD30" s="1039"/>
      <c r="AE30" s="1038" t="s">
        <v>1444</v>
      </c>
      <c r="AF30" s="1039"/>
      <c r="AH30" s="88" t="s">
        <v>1447</v>
      </c>
      <c r="AI30" s="88">
        <v>2025</v>
      </c>
      <c r="AJ30" s="88">
        <v>2030</v>
      </c>
      <c r="AK30" s="88">
        <v>2035</v>
      </c>
      <c r="AL30" s="88">
        <v>2040</v>
      </c>
      <c r="AM30" s="88">
        <v>2045</v>
      </c>
      <c r="AN30" s="88">
        <v>2050</v>
      </c>
      <c r="AS30" s="63"/>
    </row>
    <row r="31" spans="11:45" ht="16.5" thickTop="1" thickBot="1" x14ac:dyDescent="0.3">
      <c r="K31" s="1044"/>
      <c r="M31" s="1044"/>
      <c r="V31" s="775" t="s">
        <v>1386</v>
      </c>
      <c r="X31" s="63"/>
      <c r="Z31" s="1076"/>
      <c r="AA31" s="15" t="s">
        <v>248</v>
      </c>
      <c r="AB31" s="15" t="s">
        <v>1833</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44"/>
      <c r="M32" s="1044"/>
      <c r="V32" s="775"/>
      <c r="X32" s="63"/>
      <c r="Z32" s="64" t="s">
        <v>1422</v>
      </c>
      <c r="AA32" s="65">
        <v>1347</v>
      </c>
      <c r="AB32" s="65">
        <v>2854</v>
      </c>
      <c r="AC32" s="65">
        <v>837</v>
      </c>
      <c r="AD32" s="65">
        <v>3691</v>
      </c>
      <c r="AE32" s="747">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1044"/>
      <c r="M33" s="1044"/>
      <c r="V33" s="1083" t="s">
        <v>1337</v>
      </c>
      <c r="W33" s="1084"/>
      <c r="X33" s="1085"/>
      <c r="Z33" s="64" t="s">
        <v>1423</v>
      </c>
      <c r="AA33" s="65">
        <v>488</v>
      </c>
      <c r="AB33" s="65">
        <v>784</v>
      </c>
      <c r="AC33" s="65">
        <v>357</v>
      </c>
      <c r="AD33" s="65">
        <v>1141</v>
      </c>
      <c r="AE33" s="747">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1044"/>
      <c r="M34" s="1044"/>
      <c r="V34" s="232" t="s">
        <v>1226</v>
      </c>
      <c r="W34" s="88" t="s">
        <v>0</v>
      </c>
      <c r="X34" s="378" t="s">
        <v>1267</v>
      </c>
      <c r="Z34" s="64" t="s">
        <v>1424</v>
      </c>
      <c r="AA34" s="65">
        <v>309</v>
      </c>
      <c r="AB34" s="65">
        <v>573</v>
      </c>
      <c r="AC34" s="65">
        <v>178</v>
      </c>
      <c r="AD34" s="65">
        <v>751</v>
      </c>
      <c r="AE34" s="747">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44"/>
      <c r="M35" s="1044"/>
      <c r="V35" s="64" t="s">
        <v>1346</v>
      </c>
      <c r="W35" t="s">
        <v>1347</v>
      </c>
      <c r="X35" s="63"/>
      <c r="Z35" s="64" t="s">
        <v>1425</v>
      </c>
      <c r="AA35" s="65">
        <v>95</v>
      </c>
      <c r="AB35" s="65">
        <v>118</v>
      </c>
      <c r="AC35" s="65">
        <v>110</v>
      </c>
      <c r="AD35" s="65">
        <v>228</v>
      </c>
      <c r="AE35" s="747">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1044"/>
      <c r="M36" s="1044"/>
      <c r="V36" s="64" t="s">
        <v>1348</v>
      </c>
      <c r="W36" t="s">
        <v>1349</v>
      </c>
      <c r="X36" s="63"/>
      <c r="Z36" s="64" t="s">
        <v>1426</v>
      </c>
      <c r="AA36" s="65">
        <v>84</v>
      </c>
      <c r="AB36" s="65">
        <v>93</v>
      </c>
      <c r="AC36" s="65">
        <v>69</v>
      </c>
      <c r="AD36" s="65">
        <v>162</v>
      </c>
      <c r="AE36" s="747">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1044"/>
      <c r="M37" s="1044"/>
      <c r="V37" s="64" t="s">
        <v>1350</v>
      </c>
      <c r="W37" t="s">
        <v>1351</v>
      </c>
      <c r="X37" s="63"/>
      <c r="Z37" s="64" t="s">
        <v>1427</v>
      </c>
      <c r="AA37" s="65">
        <v>2034</v>
      </c>
      <c r="AB37" s="65">
        <v>4970</v>
      </c>
      <c r="AC37" s="65">
        <v>1247</v>
      </c>
      <c r="AD37" s="65">
        <v>6217</v>
      </c>
      <c r="AE37" s="749">
        <f t="shared" si="11"/>
        <v>0.79942094257680552</v>
      </c>
      <c r="AF37" s="750">
        <f t="shared" si="12"/>
        <v>0.20057905742319446</v>
      </c>
      <c r="AH37" s="28" t="s">
        <v>1448</v>
      </c>
      <c r="AI37" s="251"/>
      <c r="AJ37" s="251"/>
      <c r="AK37" s="251"/>
      <c r="AL37" s="251"/>
      <c r="AM37" s="251"/>
      <c r="AN37" s="251"/>
      <c r="AS37" s="63"/>
    </row>
    <row r="38" spans="11:47" x14ac:dyDescent="0.25">
      <c r="K38" s="1044"/>
      <c r="M38" s="1044"/>
      <c r="V38" s="64" t="s">
        <v>1352</v>
      </c>
      <c r="W38" t="s">
        <v>1369</v>
      </c>
      <c r="X38" s="63"/>
      <c r="Z38" s="64" t="s">
        <v>1428</v>
      </c>
      <c r="AA38" s="65">
        <v>3654</v>
      </c>
      <c r="AB38" s="65">
        <v>6395</v>
      </c>
      <c r="AC38" s="65">
        <v>1160</v>
      </c>
      <c r="AD38" s="65">
        <v>7555</v>
      </c>
      <c r="AE38" s="747">
        <f t="shared" si="11"/>
        <v>0.8464592984778293</v>
      </c>
      <c r="AF38" s="40">
        <f t="shared" si="12"/>
        <v>0.15354070152217075</v>
      </c>
      <c r="AH38" s="75" t="s">
        <v>1843</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44"/>
      <c r="M39" s="1044"/>
      <c r="V39" s="64" t="s">
        <v>1353</v>
      </c>
      <c r="W39" t="s">
        <v>1370</v>
      </c>
      <c r="X39" s="63"/>
      <c r="Z39" s="64" t="s">
        <v>1429</v>
      </c>
      <c r="AA39" s="65">
        <v>418</v>
      </c>
      <c r="AB39" s="65">
        <v>710</v>
      </c>
      <c r="AC39" s="65">
        <v>161</v>
      </c>
      <c r="AD39" s="65">
        <v>871</v>
      </c>
      <c r="AE39" s="747">
        <f t="shared" si="11"/>
        <v>0.81515499425947191</v>
      </c>
      <c r="AF39" s="40">
        <f t="shared" si="12"/>
        <v>0.18484500574052812</v>
      </c>
      <c r="AH39" s="75" t="s">
        <v>2692</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44"/>
      <c r="M40" s="1044"/>
      <c r="V40" s="64" t="s">
        <v>1354</v>
      </c>
      <c r="W40" t="s">
        <v>1356</v>
      </c>
      <c r="X40" s="63"/>
      <c r="Z40" s="64" t="s">
        <v>1430</v>
      </c>
      <c r="AA40" s="65">
        <v>145</v>
      </c>
      <c r="AB40" s="65">
        <v>203</v>
      </c>
      <c r="AC40" s="65">
        <v>89</v>
      </c>
      <c r="AD40" s="65">
        <v>292</v>
      </c>
      <c r="AE40" s="747">
        <f t="shared" si="11"/>
        <v>0.6952054794520548</v>
      </c>
      <c r="AF40" s="40">
        <f t="shared" si="12"/>
        <v>0.3047945205479452</v>
      </c>
      <c r="AS40" s="63"/>
    </row>
    <row r="41" spans="11:47" ht="15.75" x14ac:dyDescent="0.25">
      <c r="K41" s="1044"/>
      <c r="M41" s="1044"/>
      <c r="V41" s="64" t="s">
        <v>1355</v>
      </c>
      <c r="W41" t="s">
        <v>1362</v>
      </c>
      <c r="X41" s="63"/>
      <c r="Z41" s="64" t="s">
        <v>1431</v>
      </c>
      <c r="AA41" s="65">
        <v>84</v>
      </c>
      <c r="AB41" s="65">
        <v>138</v>
      </c>
      <c r="AC41" s="65">
        <v>16</v>
      </c>
      <c r="AD41" s="65">
        <v>154</v>
      </c>
      <c r="AE41" s="747">
        <f t="shared" si="11"/>
        <v>0.89610389610389607</v>
      </c>
      <c r="AF41" s="40">
        <f t="shared" si="12"/>
        <v>0.1038961038961039</v>
      </c>
      <c r="AH41" s="534" t="s">
        <v>2689</v>
      </c>
      <c r="AS41" s="770"/>
      <c r="AT41" s="287"/>
      <c r="AU41" s="287"/>
    </row>
    <row r="42" spans="11:47" ht="15.75" thickBot="1" x14ac:dyDescent="0.3">
      <c r="K42" s="1044"/>
      <c r="M42" s="1044"/>
      <c r="V42" s="64" t="s">
        <v>1357</v>
      </c>
      <c r="W42" t="s">
        <v>1361</v>
      </c>
      <c r="X42" s="63" t="s">
        <v>1374</v>
      </c>
      <c r="Z42" s="64" t="s">
        <v>1432</v>
      </c>
      <c r="AA42" s="65">
        <v>135</v>
      </c>
      <c r="AB42" s="65">
        <v>269</v>
      </c>
      <c r="AC42" s="65">
        <v>41</v>
      </c>
      <c r="AD42" s="65">
        <v>310</v>
      </c>
      <c r="AE42" s="747">
        <f t="shared" si="11"/>
        <v>0.86774193548387102</v>
      </c>
      <c r="AF42" s="40">
        <f t="shared" si="12"/>
        <v>0.13225806451612904</v>
      </c>
      <c r="AH42" s="88" t="s">
        <v>1452</v>
      </c>
      <c r="AI42" s="88" t="s">
        <v>2684</v>
      </c>
      <c r="AS42" s="770"/>
      <c r="AT42" s="287"/>
      <c r="AU42" s="287"/>
    </row>
    <row r="43" spans="11:47" ht="15.75" thickTop="1" x14ac:dyDescent="0.25">
      <c r="K43" s="1044"/>
      <c r="M43" s="1044"/>
      <c r="V43" s="64" t="s">
        <v>1358</v>
      </c>
      <c r="W43" t="s">
        <v>1360</v>
      </c>
      <c r="X43" s="63" t="s">
        <v>1375</v>
      </c>
      <c r="Z43" s="64" t="s">
        <v>1433</v>
      </c>
      <c r="AA43" s="65">
        <v>54</v>
      </c>
      <c r="AB43" s="65">
        <v>100</v>
      </c>
      <c r="AC43" s="65">
        <v>15</v>
      </c>
      <c r="AD43" s="65">
        <v>115</v>
      </c>
      <c r="AE43" s="747">
        <f t="shared" si="11"/>
        <v>0.86956521739130432</v>
      </c>
      <c r="AF43" s="40">
        <f t="shared" si="12"/>
        <v>0.13043478260869565</v>
      </c>
      <c r="AH43" t="s">
        <v>2683</v>
      </c>
      <c r="AI43" s="753">
        <v>0.7</v>
      </c>
      <c r="AS43" s="770"/>
      <c r="AT43" s="287"/>
      <c r="AU43" s="287"/>
    </row>
    <row r="44" spans="11:47" x14ac:dyDescent="0.25">
      <c r="K44" s="1044"/>
      <c r="M44" s="1044"/>
      <c r="V44" s="64" t="s">
        <v>1359</v>
      </c>
      <c r="W44" t="s">
        <v>1270</v>
      </c>
      <c r="X44" s="63" t="s">
        <v>1375</v>
      </c>
      <c r="Z44" s="64" t="s">
        <v>1434</v>
      </c>
      <c r="AA44" s="65">
        <v>26</v>
      </c>
      <c r="AB44" s="65">
        <v>5</v>
      </c>
      <c r="AC44" s="65">
        <v>22</v>
      </c>
      <c r="AD44" s="65">
        <v>27</v>
      </c>
      <c r="AE44" s="747">
        <f t="shared" si="11"/>
        <v>0.18518518518518517</v>
      </c>
      <c r="AF44" s="40">
        <f t="shared" si="12"/>
        <v>0.81481481481481477</v>
      </c>
      <c r="AH44" t="s">
        <v>2686</v>
      </c>
      <c r="AI44" s="753">
        <f>1-AI43</f>
        <v>0.30000000000000004</v>
      </c>
      <c r="AS44" s="770"/>
      <c r="AT44" s="84"/>
      <c r="AU44" s="84"/>
    </row>
    <row r="45" spans="11:47" x14ac:dyDescent="0.25">
      <c r="K45" s="1044"/>
      <c r="M45" s="1044"/>
      <c r="V45" s="64" t="s">
        <v>1363</v>
      </c>
      <c r="W45" t="s">
        <v>1384</v>
      </c>
      <c r="X45" s="63" t="s">
        <v>1378</v>
      </c>
      <c r="Z45" s="64" t="s">
        <v>1435</v>
      </c>
      <c r="AA45" s="65">
        <v>25</v>
      </c>
      <c r="AB45" s="65">
        <v>3</v>
      </c>
      <c r="AC45" s="65">
        <v>22</v>
      </c>
      <c r="AD45" s="65">
        <v>25</v>
      </c>
      <c r="AE45" s="747">
        <f t="shared" si="11"/>
        <v>0.12</v>
      </c>
      <c r="AF45" s="40">
        <f t="shared" si="12"/>
        <v>0.88</v>
      </c>
      <c r="AH45" s="61" t="s">
        <v>2688</v>
      </c>
      <c r="AS45" s="63"/>
    </row>
    <row r="46" spans="11:47" x14ac:dyDescent="0.25">
      <c r="K46" s="1044"/>
      <c r="M46" s="1044"/>
      <c r="V46" s="64" t="s">
        <v>1364</v>
      </c>
      <c r="W46" t="s">
        <v>1385</v>
      </c>
      <c r="X46" s="63" t="s">
        <v>1378</v>
      </c>
      <c r="Z46" s="64" t="s">
        <v>1436</v>
      </c>
      <c r="AA46" s="65">
        <v>1</v>
      </c>
      <c r="AB46" s="65">
        <v>2</v>
      </c>
      <c r="AC46" s="65">
        <v>0</v>
      </c>
      <c r="AD46" s="65">
        <v>2</v>
      </c>
      <c r="AE46" s="747">
        <f t="shared" si="11"/>
        <v>1</v>
      </c>
      <c r="AF46" s="40">
        <f t="shared" si="12"/>
        <v>0</v>
      </c>
      <c r="AS46" s="63"/>
    </row>
    <row r="47" spans="11:47" ht="15.75" x14ac:dyDescent="0.25">
      <c r="K47" s="1044"/>
      <c r="M47" s="1044"/>
      <c r="V47" s="64" t="s">
        <v>1365</v>
      </c>
      <c r="W47" t="s">
        <v>1366</v>
      </c>
      <c r="X47" s="63" t="s">
        <v>1377</v>
      </c>
      <c r="Z47" s="64" t="s">
        <v>1437</v>
      </c>
      <c r="AA47" s="65">
        <v>0</v>
      </c>
      <c r="AB47" s="65">
        <v>0</v>
      </c>
      <c r="AC47" s="65">
        <v>0</v>
      </c>
      <c r="AD47" s="65">
        <v>0</v>
      </c>
      <c r="AE47" s="747"/>
      <c r="AF47" s="40"/>
      <c r="AH47" s="534" t="s">
        <v>2690</v>
      </c>
      <c r="AS47" s="63"/>
    </row>
    <row r="48" spans="11:47" ht="15.75" thickBot="1" x14ac:dyDescent="0.3">
      <c r="K48" s="1044"/>
      <c r="M48" s="1044"/>
      <c r="V48" s="64" t="s">
        <v>1376</v>
      </c>
      <c r="W48" t="s">
        <v>1367</v>
      </c>
      <c r="X48" s="63" t="s">
        <v>1377</v>
      </c>
      <c r="Z48" s="771" t="s">
        <v>1438</v>
      </c>
      <c r="AA48" s="267">
        <v>7967</v>
      </c>
      <c r="AB48" s="267">
        <v>15718</v>
      </c>
      <c r="AC48" s="267">
        <v>3784</v>
      </c>
      <c r="AD48" s="267">
        <v>19502</v>
      </c>
      <c r="AE48" s="747">
        <f t="shared" si="11"/>
        <v>0.80596861860322022</v>
      </c>
      <c r="AF48" s="40">
        <f t="shared" si="12"/>
        <v>0.19403138139677981</v>
      </c>
      <c r="AH48" s="88" t="s">
        <v>2669</v>
      </c>
      <c r="AI48" s="88" t="s">
        <v>2668</v>
      </c>
      <c r="AS48" s="63"/>
    </row>
    <row r="49" spans="11:48" ht="15.75" thickTop="1" x14ac:dyDescent="0.25">
      <c r="K49" s="1044"/>
      <c r="M49" s="1044"/>
      <c r="V49" s="64" t="s">
        <v>1368</v>
      </c>
      <c r="W49" t="s">
        <v>1371</v>
      </c>
      <c r="X49" s="63"/>
      <c r="Z49" s="64"/>
      <c r="AH49" t="s">
        <v>2673</v>
      </c>
      <c r="AI49" s="753">
        <v>0.15</v>
      </c>
      <c r="AS49" s="63"/>
    </row>
    <row r="50" spans="11:48" ht="15.75" x14ac:dyDescent="0.25">
      <c r="K50" s="1044"/>
      <c r="M50" s="1044"/>
      <c r="V50" s="64" t="s">
        <v>1372</v>
      </c>
      <c r="W50" t="s">
        <v>1373</v>
      </c>
      <c r="X50" s="63" t="s">
        <v>1419</v>
      </c>
      <c r="Z50" s="533" t="s">
        <v>1842</v>
      </c>
      <c r="AH50" t="s">
        <v>1450</v>
      </c>
      <c r="AI50" s="753">
        <v>0.85</v>
      </c>
      <c r="AS50" s="63"/>
    </row>
    <row r="51" spans="11:48" ht="15.75" thickBot="1" x14ac:dyDescent="0.3">
      <c r="V51" s="775" t="s">
        <v>1387</v>
      </c>
      <c r="X51" s="63"/>
      <c r="Z51" s="232" t="s">
        <v>1452</v>
      </c>
      <c r="AA51" s="83">
        <v>2020</v>
      </c>
      <c r="AB51" s="88">
        <v>2025</v>
      </c>
      <c r="AC51" s="88">
        <v>2030</v>
      </c>
      <c r="AD51" s="88">
        <v>2035</v>
      </c>
      <c r="AH51" s="61" t="s">
        <v>2691</v>
      </c>
      <c r="AS51" s="63"/>
    </row>
    <row r="52" spans="11:48" ht="15.75" thickTop="1" x14ac:dyDescent="0.25">
      <c r="V52" s="64"/>
      <c r="X52" s="63"/>
      <c r="Z52" s="64" t="s">
        <v>1836</v>
      </c>
      <c r="AA52">
        <v>76</v>
      </c>
      <c r="AB52">
        <v>303</v>
      </c>
      <c r="AC52">
        <v>1081</v>
      </c>
      <c r="AD52">
        <v>2381</v>
      </c>
      <c r="AS52" s="770"/>
      <c r="AT52" s="287"/>
      <c r="AU52" s="287"/>
      <c r="AV52" s="287"/>
    </row>
    <row r="53" spans="11:48" ht="15.75" x14ac:dyDescent="0.25">
      <c r="V53" s="1070" t="s">
        <v>1338</v>
      </c>
      <c r="W53" s="1045"/>
      <c r="X53" s="1071"/>
      <c r="Z53" s="64" t="s">
        <v>1837</v>
      </c>
      <c r="AA53">
        <v>2</v>
      </c>
      <c r="AB53">
        <v>8</v>
      </c>
      <c r="AC53">
        <v>24</v>
      </c>
      <c r="AD53">
        <v>44</v>
      </c>
      <c r="AH53" s="159" t="s">
        <v>2682</v>
      </c>
      <c r="AS53" s="770"/>
      <c r="AT53" s="287"/>
      <c r="AU53" s="287"/>
      <c r="AV53" s="287"/>
    </row>
    <row r="54" spans="11:48" ht="15.75" thickBot="1" x14ac:dyDescent="0.3">
      <c r="V54" s="232" t="s">
        <v>1339</v>
      </c>
      <c r="W54" s="88" t="s">
        <v>1341</v>
      </c>
      <c r="X54" s="378" t="s">
        <v>1342</v>
      </c>
      <c r="Z54" s="64" t="s">
        <v>1838</v>
      </c>
      <c r="AA54">
        <v>0.2</v>
      </c>
      <c r="AB54">
        <v>3</v>
      </c>
      <c r="AC54">
        <v>19</v>
      </c>
      <c r="AD54">
        <v>57</v>
      </c>
      <c r="AH54" s="88" t="s">
        <v>2685</v>
      </c>
      <c r="AI54" s="88">
        <v>2022</v>
      </c>
      <c r="AJ54" s="88">
        <v>2025</v>
      </c>
      <c r="AK54" s="88">
        <v>2030</v>
      </c>
      <c r="AL54" s="88">
        <v>2035</v>
      </c>
      <c r="AM54" s="88">
        <v>2040</v>
      </c>
      <c r="AN54" s="88">
        <v>2045</v>
      </c>
      <c r="AO54" s="88">
        <v>2050</v>
      </c>
      <c r="AS54" s="770"/>
      <c r="AT54" s="287"/>
      <c r="AU54" s="287"/>
      <c r="AV54" s="287"/>
    </row>
    <row r="55" spans="11:48" ht="15.75" thickTop="1" x14ac:dyDescent="0.25">
      <c r="V55" s="64" t="s">
        <v>1340</v>
      </c>
      <c r="W55" s="776">
        <v>0.25</v>
      </c>
      <c r="X55" s="777">
        <v>0.3743055555555555</v>
      </c>
      <c r="Z55" s="64" t="s">
        <v>1839</v>
      </c>
      <c r="AA55">
        <v>6</v>
      </c>
      <c r="AB55">
        <v>21</v>
      </c>
      <c r="AC55">
        <v>46</v>
      </c>
      <c r="AD55">
        <v>69</v>
      </c>
      <c r="AH55" s="28" t="s">
        <v>2683</v>
      </c>
      <c r="AJ55" s="30"/>
      <c r="AS55" s="770"/>
      <c r="AT55" s="287"/>
      <c r="AU55" s="287"/>
      <c r="AV55" s="287"/>
    </row>
    <row r="56" spans="11:48" x14ac:dyDescent="0.25">
      <c r="V56" s="64" t="s">
        <v>1343</v>
      </c>
      <c r="W56" s="776">
        <v>0.375</v>
      </c>
      <c r="X56" s="777">
        <v>0.62430555555555556</v>
      </c>
      <c r="Z56" s="64" t="s">
        <v>1840</v>
      </c>
      <c r="AA56" s="1072">
        <v>0.7</v>
      </c>
      <c r="AB56">
        <v>2.4</v>
      </c>
      <c r="AC56">
        <v>4.9000000000000004</v>
      </c>
      <c r="AD56">
        <v>7.8</v>
      </c>
      <c r="AH56" s="75" t="s">
        <v>2674</v>
      </c>
      <c r="AI56" s="30">
        <f>$AI$43*$AI$49</f>
        <v>0.105</v>
      </c>
      <c r="AJ56" s="30">
        <f>AI56/2</f>
        <v>5.2499999999999998E-2</v>
      </c>
      <c r="AK56" s="30">
        <v>0</v>
      </c>
      <c r="AL56" s="30">
        <v>0</v>
      </c>
      <c r="AM56" s="30">
        <v>0</v>
      </c>
      <c r="AN56" s="30">
        <v>0</v>
      </c>
      <c r="AO56" s="30">
        <v>0</v>
      </c>
      <c r="AS56" s="770"/>
      <c r="AT56" s="287"/>
      <c r="AU56" s="287"/>
      <c r="AV56" s="287"/>
    </row>
    <row r="57" spans="11:48" ht="15.75" thickBot="1" x14ac:dyDescent="0.3">
      <c r="V57" s="64" t="s">
        <v>1344</v>
      </c>
      <c r="W57" s="776">
        <v>0.625</v>
      </c>
      <c r="X57" s="777">
        <v>0.7909722222222223</v>
      </c>
      <c r="Z57" s="67" t="s">
        <v>1841</v>
      </c>
      <c r="AA57" s="1073"/>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0"/>
      <c r="AT57" s="287"/>
      <c r="AU57" s="287"/>
      <c r="AV57" s="287"/>
    </row>
    <row r="58" spans="11:48" x14ac:dyDescent="0.25">
      <c r="V58" s="64" t="s">
        <v>1345</v>
      </c>
      <c r="W58" s="776">
        <v>0.79166666666666663</v>
      </c>
      <c r="X58" s="777">
        <v>0.99930555555555556</v>
      </c>
      <c r="Z58" s="64" t="s">
        <v>2670</v>
      </c>
      <c r="AA58">
        <f>SUM(AA53:AA55)</f>
        <v>8.1999999999999993</v>
      </c>
      <c r="AB58">
        <f t="shared" ref="AB58:AD58" si="17">SUM(AB53:AB55)</f>
        <v>32</v>
      </c>
      <c r="AC58">
        <f t="shared" si="17"/>
        <v>89</v>
      </c>
      <c r="AD58">
        <f t="shared" si="17"/>
        <v>170</v>
      </c>
      <c r="AH58" s="28" t="s">
        <v>2687</v>
      </c>
      <c r="AJ58" s="30"/>
      <c r="AK58" s="30"/>
      <c r="AL58" s="30"/>
      <c r="AM58" s="30"/>
      <c r="AN58" s="30"/>
      <c r="AO58" s="30"/>
      <c r="AS58" s="770"/>
      <c r="AT58" s="287"/>
      <c r="AU58" s="287"/>
      <c r="AV58" s="287"/>
    </row>
    <row r="59" spans="11:48" ht="15.75" thickBot="1" x14ac:dyDescent="0.3">
      <c r="V59" s="67" t="s">
        <v>95</v>
      </c>
      <c r="W59" s="778">
        <v>0</v>
      </c>
      <c r="X59" s="779">
        <v>0.24930555555555556</v>
      </c>
      <c r="Z59" s="768" t="s">
        <v>1846</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2672</v>
      </c>
      <c r="AA60" s="114">
        <f>AA52/SUM(AA52:AA57)</f>
        <v>0.89517078916372195</v>
      </c>
      <c r="AB60" s="114">
        <f>AB52/SUM(AB52:AB57)</f>
        <v>0.89644970414201186</v>
      </c>
      <c r="AC60" s="114">
        <f>AC52/SUM(AC52:AC57)</f>
        <v>0.91898325257162272</v>
      </c>
      <c r="AD60" s="114">
        <f>AD52/SUM(AD52:AD57)</f>
        <v>0.92975125932289426</v>
      </c>
      <c r="AH60" s="75" t="s">
        <v>2675</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2671</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2695</v>
      </c>
      <c r="AI62" s="772">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1844</v>
      </c>
      <c r="AH63" s="75" t="s">
        <v>1845</v>
      </c>
      <c r="AI63" s="772">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2"/>
      <c r="AH64" s="75" t="s">
        <v>1451</v>
      </c>
      <c r="AI64" s="772">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3" t="s">
        <v>2696</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5" t="s">
        <v>1453</v>
      </c>
      <c r="AA67" s="773">
        <v>0.85</v>
      </c>
      <c r="AB67" s="773">
        <v>0.82</v>
      </c>
      <c r="AC67" s="773">
        <v>0.79</v>
      </c>
      <c r="AD67" s="773">
        <v>0.78</v>
      </c>
      <c r="AE67" s="773">
        <v>0.75</v>
      </c>
      <c r="AF67" s="773">
        <v>0.72599999999999998</v>
      </c>
      <c r="AG67" s="773">
        <v>0.70199999999999996</v>
      </c>
      <c r="AS67" s="63"/>
    </row>
    <row r="68" spans="26:45" x14ac:dyDescent="0.25">
      <c r="Z68" s="379" t="s">
        <v>1454</v>
      </c>
      <c r="AA68" s="287"/>
      <c r="AB68" s="287"/>
      <c r="AC68" s="287"/>
      <c r="AD68" s="287"/>
      <c r="AE68" s="442"/>
      <c r="AF68" s="442"/>
      <c r="AG68" s="442"/>
      <c r="AS68" s="63"/>
    </row>
    <row r="69" spans="26:45" x14ac:dyDescent="0.25">
      <c r="Z69" s="381" t="s">
        <v>1455</v>
      </c>
      <c r="AA69" s="287">
        <v>0.93</v>
      </c>
      <c r="AB69" s="287">
        <v>0.91</v>
      </c>
      <c r="AC69" s="287">
        <v>0.9</v>
      </c>
      <c r="AD69" s="287">
        <v>0.89</v>
      </c>
      <c r="AE69" s="287">
        <v>0.875</v>
      </c>
      <c r="AF69" s="287">
        <v>0.86199999999999999</v>
      </c>
      <c r="AG69" s="287">
        <v>0.84899999999999998</v>
      </c>
      <c r="AS69" s="63"/>
    </row>
    <row r="70" spans="26:45" x14ac:dyDescent="0.25">
      <c r="Z70" s="381" t="s">
        <v>1456</v>
      </c>
      <c r="AA70" s="287">
        <v>0.73</v>
      </c>
      <c r="AB70" s="287">
        <v>0.72</v>
      </c>
      <c r="AC70" s="287">
        <v>0.71</v>
      </c>
      <c r="AD70" s="287">
        <v>0.7</v>
      </c>
      <c r="AE70" s="287">
        <v>0.69</v>
      </c>
      <c r="AF70" s="287">
        <v>0.68</v>
      </c>
      <c r="AG70" s="287">
        <v>0.67</v>
      </c>
      <c r="AS70" s="63"/>
    </row>
    <row r="71" spans="26:45" x14ac:dyDescent="0.25">
      <c r="Z71" s="381"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1" t="s">
        <v>1458</v>
      </c>
      <c r="AA72" s="287">
        <v>0.2</v>
      </c>
      <c r="AB72" s="287">
        <v>0.2</v>
      </c>
      <c r="AC72" s="287">
        <v>0.19</v>
      </c>
      <c r="AD72" s="287">
        <v>0.19</v>
      </c>
      <c r="AE72" s="287">
        <v>0.185</v>
      </c>
      <c r="AF72" s="287">
        <v>0.18099999999999999</v>
      </c>
      <c r="AG72" s="287">
        <v>0.17699999999999999</v>
      </c>
      <c r="AS72" s="63"/>
    </row>
    <row r="73" spans="26:45" x14ac:dyDescent="0.25">
      <c r="Z73" s="381" t="s">
        <v>1459</v>
      </c>
      <c r="AA73" s="287">
        <v>0.27</v>
      </c>
      <c r="AB73" s="287">
        <v>0.27</v>
      </c>
      <c r="AC73" s="287">
        <v>0.26</v>
      </c>
      <c r="AD73" s="287">
        <v>0.26</v>
      </c>
      <c r="AE73" s="287">
        <v>0.255</v>
      </c>
      <c r="AF73" s="287">
        <v>0.251</v>
      </c>
      <c r="AG73" s="287">
        <v>0.247</v>
      </c>
      <c r="AS73" s="63"/>
    </row>
    <row r="74" spans="26:45" x14ac:dyDescent="0.25">
      <c r="Z74" s="381" t="s">
        <v>75</v>
      </c>
      <c r="AA74" s="287">
        <v>0.61</v>
      </c>
      <c r="AB74" s="287">
        <v>0.61</v>
      </c>
      <c r="AC74" s="287">
        <v>0.6</v>
      </c>
      <c r="AD74" s="287">
        <v>0.59</v>
      </c>
      <c r="AE74" s="287">
        <v>0.58499999999999996</v>
      </c>
      <c r="AF74" s="287">
        <v>0.57799999999999996</v>
      </c>
      <c r="AG74" s="287">
        <v>0.57099999999999995</v>
      </c>
      <c r="AS74" s="63"/>
    </row>
    <row r="75" spans="26:45" x14ac:dyDescent="0.25">
      <c r="Z75" s="535" t="s">
        <v>1460</v>
      </c>
      <c r="AA75" s="754">
        <v>0.34</v>
      </c>
      <c r="AB75" s="754">
        <v>0.36</v>
      </c>
      <c r="AC75" s="754">
        <v>0.38</v>
      </c>
      <c r="AD75" s="754">
        <v>0.39</v>
      </c>
      <c r="AE75" s="754">
        <v>0.41</v>
      </c>
      <c r="AF75" s="754">
        <v>0.42699999999999999</v>
      </c>
      <c r="AG75" s="754">
        <v>0.44400000000000001</v>
      </c>
      <c r="AS75" s="63"/>
    </row>
    <row r="76" spans="26:45" x14ac:dyDescent="0.25">
      <c r="Z76" s="407" t="s">
        <v>1461</v>
      </c>
      <c r="AS76" s="63"/>
    </row>
    <row r="77" spans="26:45" ht="15.75" thickBot="1" x14ac:dyDescent="0.3">
      <c r="Z77" s="392" t="s">
        <v>2697</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M25" zoomScaleNormal="100" workbookViewId="0">
      <selection activeCell="AP53" sqref="AP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7" customWidth="1"/>
    <col min="7" max="7" width="122.7109375" style="52" customWidth="1"/>
    <col min="8" max="12" width="4.7109375" style="377"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x14ac:dyDescent="0.25">
      <c r="H1" s="1038" t="s">
        <v>147</v>
      </c>
      <c r="I1" s="1039"/>
      <c r="J1" s="1039"/>
      <c r="K1" s="1039"/>
      <c r="L1" s="1039"/>
      <c r="M1" s="1044" t="s">
        <v>2640</v>
      </c>
      <c r="O1" s="1044" t="s">
        <v>2641</v>
      </c>
      <c r="P1" s="285" t="s">
        <v>4357</v>
      </c>
      <c r="W1" s="285" t="s">
        <v>4369</v>
      </c>
      <c r="Z1" s="285" t="s">
        <v>4372</v>
      </c>
      <c r="AE1" s="159" t="s">
        <v>4378</v>
      </c>
      <c r="AL1" s="909" t="s">
        <v>4379</v>
      </c>
      <c r="AM1" s="70"/>
      <c r="AN1" s="70"/>
      <c r="AO1" s="70"/>
      <c r="AP1" s="295"/>
    </row>
    <row r="2" spans="1:51" ht="99.75" thickBot="1" x14ac:dyDescent="0.3">
      <c r="A2" s="724" t="s">
        <v>92</v>
      </c>
      <c r="B2" s="724" t="s">
        <v>93</v>
      </c>
      <c r="C2" s="724" t="s">
        <v>179</v>
      </c>
      <c r="D2" s="724" t="s">
        <v>143</v>
      </c>
      <c r="E2" s="724" t="s">
        <v>94</v>
      </c>
      <c r="F2" s="724" t="s">
        <v>2025</v>
      </c>
      <c r="G2" s="725" t="s">
        <v>91</v>
      </c>
      <c r="H2" s="722" t="s">
        <v>148</v>
      </c>
      <c r="I2" s="722" t="s">
        <v>152</v>
      </c>
      <c r="J2" s="722" t="s">
        <v>149</v>
      </c>
      <c r="K2" s="722" t="s">
        <v>150</v>
      </c>
      <c r="L2" s="722" t="s">
        <v>151</v>
      </c>
      <c r="M2" s="1044"/>
      <c r="N2" s="735"/>
      <c r="O2" s="1044"/>
      <c r="P2" s="758" t="s">
        <v>4353</v>
      </c>
      <c r="Q2" s="758" t="s">
        <v>17</v>
      </c>
      <c r="R2" s="758" t="s">
        <v>4354</v>
      </c>
      <c r="S2" s="758" t="s">
        <v>4355</v>
      </c>
      <c r="T2" s="758" t="s">
        <v>4356</v>
      </c>
      <c r="U2" s="906" t="s">
        <v>4358</v>
      </c>
      <c r="V2" s="906"/>
      <c r="W2" s="908" t="s">
        <v>4370</v>
      </c>
      <c r="X2" s="908" t="s">
        <v>4371</v>
      </c>
      <c r="Y2" s="244"/>
      <c r="Z2" s="908" t="s">
        <v>4373</v>
      </c>
      <c r="AA2" s="908" t="s">
        <v>4374</v>
      </c>
      <c r="AB2" s="908" t="s">
        <v>4375</v>
      </c>
      <c r="AC2" s="244"/>
      <c r="AD2" s="244"/>
      <c r="AE2" s="88" t="s">
        <v>4353</v>
      </c>
      <c r="AF2" s="88" t="s">
        <v>17</v>
      </c>
      <c r="AG2" s="88" t="s">
        <v>1474</v>
      </c>
      <c r="AH2" s="88" t="s">
        <v>1481</v>
      </c>
      <c r="AI2" s="88" t="s">
        <v>41</v>
      </c>
      <c r="AL2" s="232" t="s">
        <v>4365</v>
      </c>
      <c r="AM2" s="88" t="s">
        <v>17</v>
      </c>
      <c r="AN2" s="88" t="s">
        <v>1474</v>
      </c>
      <c r="AO2" s="88" t="s">
        <v>1481</v>
      </c>
      <c r="AP2" s="378" t="s">
        <v>41</v>
      </c>
      <c r="AS2" s="28"/>
      <c r="AT2" s="28"/>
      <c r="AU2" s="28"/>
      <c r="AV2" s="28"/>
      <c r="AW2" s="28"/>
      <c r="AX2" s="28"/>
      <c r="AY2" s="28"/>
    </row>
    <row r="3" spans="1:51" ht="15.75" thickTop="1" x14ac:dyDescent="0.25">
      <c r="A3" t="s">
        <v>4432</v>
      </c>
      <c r="B3" t="s">
        <v>95</v>
      </c>
      <c r="C3" t="s">
        <v>4364</v>
      </c>
      <c r="D3">
        <v>2024</v>
      </c>
      <c r="E3" t="s">
        <v>104</v>
      </c>
      <c r="F3" s="377">
        <f>'Background Data'!$BB$25</f>
        <v>14</v>
      </c>
      <c r="G3" s="52" t="s">
        <v>4361</v>
      </c>
      <c r="H3" s="377">
        <v>1</v>
      </c>
      <c r="I3" s="377">
        <v>1</v>
      </c>
      <c r="J3" s="377">
        <v>1</v>
      </c>
      <c r="K3" s="377">
        <v>3</v>
      </c>
      <c r="L3" s="377">
        <v>1</v>
      </c>
      <c r="M3" s="1044"/>
      <c r="O3" s="1044"/>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7">
        <f>1-Q3</f>
        <v>0</v>
      </c>
      <c r="AG3" s="907">
        <f>1-U3</f>
        <v>0</v>
      </c>
      <c r="AH3" s="907">
        <f>1-T3</f>
        <v>0</v>
      </c>
      <c r="AI3" s="907">
        <f>AB3</f>
        <v>0</v>
      </c>
      <c r="AL3" s="379" t="s">
        <v>4366</v>
      </c>
      <c r="AM3" s="73" cm="1">
        <f t="array" ref="AM3">SUMPRODUCT($AE$3:$AE$13,AF3:AF13/SUM(AF3:AF13))</f>
        <v>7.1944597825987113</v>
      </c>
      <c r="AN3" s="73" cm="1">
        <f t="array" ref="AN3">SUMPRODUCT($AE$3:$AE$14,AG3:AG14/SUM(AG3:AG14))</f>
        <v>7.7463553503555058</v>
      </c>
      <c r="AO3" s="73" cm="1">
        <f t="array" ref="AO3">SUMPRODUCT($AE$3:$AE$16,AH3:AH16/SUM(AH3:AH16))</f>
        <v>9.4025166211079352</v>
      </c>
      <c r="AP3" s="380" cm="1">
        <f t="array" ref="AP3">SUMPRODUCT($AE$3:$AE$15,AI3:AI15/SUM(AI3:AI15))</f>
        <v>9.0850156826728359</v>
      </c>
      <c r="AR3" s="28"/>
      <c r="AS3" s="71"/>
      <c r="AT3" s="71"/>
      <c r="AU3" s="71"/>
      <c r="AV3" s="71"/>
      <c r="AW3" s="71"/>
      <c r="AX3" s="71"/>
      <c r="AY3" s="71"/>
    </row>
    <row r="4" spans="1:51" x14ac:dyDescent="0.25">
      <c r="A4" t="s">
        <v>4433</v>
      </c>
      <c r="B4" t="s">
        <v>95</v>
      </c>
      <c r="C4" t="s">
        <v>4364</v>
      </c>
      <c r="D4">
        <v>2024</v>
      </c>
      <c r="E4" t="s">
        <v>104</v>
      </c>
      <c r="F4" s="377">
        <f>'Background Data'!$BB$25</f>
        <v>14</v>
      </c>
      <c r="G4" s="52" t="s">
        <v>4361</v>
      </c>
      <c r="H4" s="377">
        <v>1</v>
      </c>
      <c r="I4" s="377">
        <v>1</v>
      </c>
      <c r="J4" s="377">
        <v>1</v>
      </c>
      <c r="K4" s="377">
        <v>3</v>
      </c>
      <c r="L4" s="377">
        <v>1</v>
      </c>
      <c r="M4" s="1044"/>
      <c r="O4" s="1044"/>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7">
        <f>Q3-Q4</f>
        <v>6.5676097538820422E-3</v>
      </c>
      <c r="AG4" s="907">
        <f>U3-U4</f>
        <v>6.9477278293709199E-3</v>
      </c>
      <c r="AH4" s="907">
        <f>T3-T4</f>
        <v>7.0663370000000336E-3</v>
      </c>
      <c r="AI4" s="907">
        <f t="shared" ref="AI4:AI42" si="0">AB4</f>
        <v>0</v>
      </c>
      <c r="AL4" s="379" t="s">
        <v>4367</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0" cm="1">
        <f t="array" ref="AP4">SUMPRODUCT($AE$16:$AE$29,AI16:AI29/SUM(AI16:AI29))</f>
        <v>19.687704906650964</v>
      </c>
      <c r="AR4" s="28"/>
      <c r="AS4" s="71"/>
      <c r="AT4" s="71"/>
      <c r="AU4" s="71"/>
      <c r="AV4" s="71"/>
      <c r="AW4" s="71"/>
      <c r="AX4" s="71"/>
      <c r="AY4" s="71"/>
    </row>
    <row r="5" spans="1:51" x14ac:dyDescent="0.25">
      <c r="A5" t="s">
        <v>4434</v>
      </c>
      <c r="B5" t="s">
        <v>95</v>
      </c>
      <c r="C5" t="s">
        <v>4364</v>
      </c>
      <c r="D5">
        <v>2024</v>
      </c>
      <c r="E5" t="s">
        <v>104</v>
      </c>
      <c r="F5" s="377">
        <f>'Background Data'!$BB$25</f>
        <v>14</v>
      </c>
      <c r="G5" s="52" t="s">
        <v>4361</v>
      </c>
      <c r="H5" s="377">
        <v>1</v>
      </c>
      <c r="I5" s="377">
        <v>1</v>
      </c>
      <c r="J5" s="377">
        <v>1</v>
      </c>
      <c r="K5" s="377">
        <v>3</v>
      </c>
      <c r="L5" s="377">
        <v>1</v>
      </c>
      <c r="M5" s="1044"/>
      <c r="O5" s="1044"/>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7">
        <f t="shared" ref="AF5:AF42" si="2">Q4-Q5</f>
        <v>8.3698176755049314E-3</v>
      </c>
      <c r="AG5" s="907">
        <f t="shared" ref="AG5:AG42" si="3">U4-U5</f>
        <v>8.3640266465814239E-3</v>
      </c>
      <c r="AH5" s="907">
        <f t="shared" ref="AH5:AH42" si="4">T4-T5</f>
        <v>6.3008959999999448E-3</v>
      </c>
      <c r="AI5" s="907">
        <f t="shared" si="0"/>
        <v>0</v>
      </c>
      <c r="AL5" s="379" t="s">
        <v>4368</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0" cm="1">
        <f t="array" ref="AP5">SUMPRODUCT($AE$30:$AE$42,AI30:AI42/SUM(AI30:AI42))</f>
        <v>30.516715324491653</v>
      </c>
      <c r="AR5" s="28"/>
      <c r="AS5" s="60"/>
      <c r="AT5" s="60"/>
      <c r="AU5" s="60"/>
      <c r="AV5" s="60"/>
      <c r="AW5" s="60"/>
      <c r="AX5" s="60"/>
      <c r="AY5" s="60"/>
    </row>
    <row r="6" spans="1:51" x14ac:dyDescent="0.25">
      <c r="A6" t="s">
        <v>4435</v>
      </c>
      <c r="B6" t="s">
        <v>95</v>
      </c>
      <c r="C6" t="s">
        <v>4364</v>
      </c>
      <c r="D6">
        <v>2024</v>
      </c>
      <c r="E6" t="s">
        <v>104</v>
      </c>
      <c r="F6" s="377">
        <f>'Background Data'!$BB$25</f>
        <v>14</v>
      </c>
      <c r="G6" s="52" t="s">
        <v>4361</v>
      </c>
      <c r="H6" s="377">
        <v>1</v>
      </c>
      <c r="I6" s="377">
        <v>1</v>
      </c>
      <c r="J6" s="377">
        <v>1</v>
      </c>
      <c r="K6" s="377">
        <v>3</v>
      </c>
      <c r="L6" s="377">
        <v>1</v>
      </c>
      <c r="M6" s="1044"/>
      <c r="O6" s="1044"/>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7">
        <f t="shared" si="2"/>
        <v>1.1170272022762773E-2</v>
      </c>
      <c r="AG6" s="907">
        <f t="shared" si="3"/>
        <v>1.0501639201483837E-2</v>
      </c>
      <c r="AH6" s="907">
        <f t="shared" si="4"/>
        <v>6.0017599999999671E-3</v>
      </c>
      <c r="AI6" s="907">
        <f t="shared" si="0"/>
        <v>9.3829104377274319E-5</v>
      </c>
      <c r="AL6" s="1086" t="s">
        <v>4377</v>
      </c>
      <c r="AM6" s="1087"/>
      <c r="AN6" s="1087"/>
      <c r="AO6" s="1087"/>
      <c r="AP6" s="1088"/>
      <c r="AR6" s="28"/>
      <c r="AS6" s="259"/>
      <c r="AT6" s="259"/>
      <c r="AU6" s="259"/>
      <c r="AV6" s="259"/>
      <c r="AW6" s="259"/>
      <c r="AX6" s="259"/>
      <c r="AY6" s="259"/>
    </row>
    <row r="7" spans="1:51" x14ac:dyDescent="0.25">
      <c r="A7" t="s">
        <v>4436</v>
      </c>
      <c r="B7" t="s">
        <v>95</v>
      </c>
      <c r="C7" t="s">
        <v>4364</v>
      </c>
      <c r="D7">
        <v>2024</v>
      </c>
      <c r="E7" t="s">
        <v>104</v>
      </c>
      <c r="F7" s="377">
        <f>'Background Data'!$BB$25</f>
        <v>14</v>
      </c>
      <c r="G7" s="52" t="s">
        <v>4361</v>
      </c>
      <c r="H7" s="377">
        <v>1</v>
      </c>
      <c r="I7" s="377">
        <v>1</v>
      </c>
      <c r="J7" s="377">
        <v>1</v>
      </c>
      <c r="K7" s="377">
        <v>3</v>
      </c>
      <c r="L7" s="377">
        <v>1</v>
      </c>
      <c r="M7" s="1044"/>
      <c r="O7" s="1044"/>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7">
        <f t="shared" si="2"/>
        <v>1.4699911244975827E-2</v>
      </c>
      <c r="AG7" s="907">
        <f t="shared" si="3"/>
        <v>1.3071786834050747E-2</v>
      </c>
      <c r="AH7" s="907">
        <f t="shared" si="4"/>
        <v>7.1164840000000895E-3</v>
      </c>
      <c r="AI7" s="907">
        <f t="shared" si="0"/>
        <v>5.4376360209211771E-3</v>
      </c>
      <c r="AL7" s="1086"/>
      <c r="AM7" s="1087"/>
      <c r="AN7" s="1087"/>
      <c r="AO7" s="1087"/>
      <c r="AP7" s="1088"/>
    </row>
    <row r="8" spans="1:51" ht="15.75" thickBot="1" x14ac:dyDescent="0.3">
      <c r="A8" t="s">
        <v>4437</v>
      </c>
      <c r="B8" t="s">
        <v>95</v>
      </c>
      <c r="C8" t="s">
        <v>4364</v>
      </c>
      <c r="D8">
        <v>2024</v>
      </c>
      <c r="E8" t="s">
        <v>104</v>
      </c>
      <c r="F8" s="377">
        <f>'Background Data'!$BB$26</f>
        <v>16</v>
      </c>
      <c r="G8" s="52" t="s">
        <v>4362</v>
      </c>
      <c r="H8" s="377">
        <v>1</v>
      </c>
      <c r="I8" s="377">
        <v>1</v>
      </c>
      <c r="J8" s="377">
        <v>1</v>
      </c>
      <c r="K8" s="377">
        <v>3</v>
      </c>
      <c r="L8" s="377">
        <v>1</v>
      </c>
      <c r="M8" s="1044"/>
      <c r="O8" s="1044"/>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7">
        <f t="shared" si="2"/>
        <v>1.8484443801563333E-2</v>
      </c>
      <c r="AG8" s="907">
        <f t="shared" si="3"/>
        <v>1.6012943572506377E-2</v>
      </c>
      <c r="AH8" s="907">
        <f t="shared" si="4"/>
        <v>8.1812289999999566E-3</v>
      </c>
      <c r="AI8" s="907">
        <f t="shared" si="0"/>
        <v>1.0310001858311768E-2</v>
      </c>
      <c r="AL8" s="1089"/>
      <c r="AM8" s="1090"/>
      <c r="AN8" s="1090"/>
      <c r="AO8" s="1090"/>
      <c r="AP8" s="1091"/>
      <c r="AR8" s="28"/>
      <c r="AS8" s="259"/>
      <c r="AT8" s="259"/>
      <c r="AU8" s="259"/>
      <c r="AV8" s="259"/>
      <c r="AW8" s="259"/>
      <c r="AX8" s="259"/>
      <c r="AY8" s="259"/>
    </row>
    <row r="9" spans="1:51" ht="14.45" customHeight="1" x14ac:dyDescent="0.25">
      <c r="A9" t="s">
        <v>4438</v>
      </c>
      <c r="B9" t="s">
        <v>95</v>
      </c>
      <c r="C9" t="s">
        <v>4364</v>
      </c>
      <c r="D9">
        <v>2024</v>
      </c>
      <c r="E9" t="s">
        <v>104</v>
      </c>
      <c r="F9" s="377">
        <f>'Background Data'!$BB$26</f>
        <v>16</v>
      </c>
      <c r="G9" s="52" t="s">
        <v>4362</v>
      </c>
      <c r="H9" s="377">
        <v>1</v>
      </c>
      <c r="I9" s="377">
        <v>1</v>
      </c>
      <c r="J9" s="377">
        <v>1</v>
      </c>
      <c r="K9" s="377">
        <v>3</v>
      </c>
      <c r="L9" s="377">
        <v>1</v>
      </c>
      <c r="M9" s="1044"/>
      <c r="O9" s="1044"/>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7">
        <f t="shared" si="2"/>
        <v>2.3819146773279565E-2</v>
      </c>
      <c r="AG9" s="907">
        <f t="shared" si="3"/>
        <v>1.9838224194210552E-2</v>
      </c>
      <c r="AH9" s="907">
        <f t="shared" si="4"/>
        <v>1.2187492000000022E-2</v>
      </c>
      <c r="AI9" s="907">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25">
      <c r="A10" t="s">
        <v>4439</v>
      </c>
      <c r="B10" t="s">
        <v>95</v>
      </c>
      <c r="C10" t="s">
        <v>4364</v>
      </c>
      <c r="D10">
        <v>2024</v>
      </c>
      <c r="E10" t="s">
        <v>104</v>
      </c>
      <c r="F10" s="377">
        <f>'Background Data'!$BB$26</f>
        <v>16</v>
      </c>
      <c r="G10" s="52" t="s">
        <v>4362</v>
      </c>
      <c r="H10" s="377">
        <v>1</v>
      </c>
      <c r="I10" s="377">
        <v>1</v>
      </c>
      <c r="J10" s="377">
        <v>1</v>
      </c>
      <c r="K10" s="377">
        <v>3</v>
      </c>
      <c r="L10" s="377">
        <v>1</v>
      </c>
      <c r="M10" s="1044"/>
      <c r="O10" s="1044"/>
      <c r="P10">
        <v>7</v>
      </c>
      <c r="Q10" s="434">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7">
        <f t="shared" si="2"/>
        <v>2.9892786497910162E-2</v>
      </c>
      <c r="AG10" s="907">
        <f t="shared" si="3"/>
        <v>2.4151252586176897E-2</v>
      </c>
      <c r="AH10" s="907">
        <f t="shared" si="4"/>
        <v>1.4668983999999941E-2</v>
      </c>
      <c r="AI10" s="907">
        <f t="shared" si="0"/>
        <v>1.8725714539366001E-2</v>
      </c>
    </row>
    <row r="11" spans="1:51" x14ac:dyDescent="0.25">
      <c r="A11" t="s">
        <v>4440</v>
      </c>
      <c r="B11" t="s">
        <v>95</v>
      </c>
      <c r="C11" t="s">
        <v>4364</v>
      </c>
      <c r="D11">
        <v>2024</v>
      </c>
      <c r="E11" t="s">
        <v>104</v>
      </c>
      <c r="F11" s="377">
        <f>'Background Data'!$BB$26</f>
        <v>16</v>
      </c>
      <c r="G11" s="52" t="s">
        <v>4362</v>
      </c>
      <c r="H11" s="377">
        <v>1</v>
      </c>
      <c r="I11" s="377">
        <v>1</v>
      </c>
      <c r="J11" s="377">
        <v>1</v>
      </c>
      <c r="K11" s="377">
        <v>3</v>
      </c>
      <c r="L11" s="377">
        <v>1</v>
      </c>
      <c r="M11" s="1044"/>
      <c r="O11" s="1044"/>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7">
        <f t="shared" si="2"/>
        <v>3.6499623603684417E-2</v>
      </c>
      <c r="AG11" s="907">
        <f t="shared" si="3"/>
        <v>2.8949626566297626E-2</v>
      </c>
      <c r="AH11" s="907">
        <f t="shared" si="4"/>
        <v>2.0508782000000059E-2</v>
      </c>
      <c r="AI11" s="907">
        <f t="shared" si="0"/>
        <v>2.2311713504896358E-2</v>
      </c>
      <c r="AR11" s="28"/>
      <c r="AS11" s="71"/>
      <c r="AT11" s="71"/>
      <c r="AU11" s="71"/>
      <c r="AV11" s="71"/>
      <c r="AW11" s="71"/>
      <c r="AX11" s="71"/>
      <c r="AY11" s="71"/>
    </row>
    <row r="12" spans="1:51" x14ac:dyDescent="0.25">
      <c r="A12" t="s">
        <v>4441</v>
      </c>
      <c r="B12" t="s">
        <v>95</v>
      </c>
      <c r="C12" t="s">
        <v>4364</v>
      </c>
      <c r="D12">
        <v>2024</v>
      </c>
      <c r="E12" t="s">
        <v>104</v>
      </c>
      <c r="F12" s="377">
        <f>'Background Data'!$BB$26</f>
        <v>16</v>
      </c>
      <c r="G12" s="52" t="s">
        <v>4362</v>
      </c>
      <c r="H12" s="377">
        <v>1</v>
      </c>
      <c r="I12" s="377">
        <v>1</v>
      </c>
      <c r="J12" s="377">
        <v>1</v>
      </c>
      <c r="K12" s="377">
        <v>3</v>
      </c>
      <c r="L12" s="377">
        <v>1</v>
      </c>
      <c r="M12" s="1044"/>
      <c r="O12" s="1044"/>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7">
        <f t="shared" si="2"/>
        <v>4.3748088752408876E-2</v>
      </c>
      <c r="AG12" s="907">
        <f t="shared" si="3"/>
        <v>3.434074505447493E-2</v>
      </c>
      <c r="AH12" s="907">
        <f t="shared" si="4"/>
        <v>2.4306344999999951E-2</v>
      </c>
      <c r="AI12" s="907">
        <f t="shared" si="0"/>
        <v>2.55115756350065E-2</v>
      </c>
      <c r="AR12" s="28"/>
      <c r="AS12" s="71"/>
      <c r="AT12" s="71"/>
      <c r="AU12" s="71"/>
      <c r="AV12" s="71"/>
      <c r="AW12" s="71"/>
      <c r="AX12" s="71"/>
      <c r="AY12" s="71"/>
    </row>
    <row r="13" spans="1:51" x14ac:dyDescent="0.25">
      <c r="A13" t="s">
        <v>4442</v>
      </c>
      <c r="B13" t="s">
        <v>95</v>
      </c>
      <c r="C13" t="s">
        <v>4364</v>
      </c>
      <c r="D13">
        <v>2024</v>
      </c>
      <c r="E13" t="s">
        <v>104</v>
      </c>
      <c r="F13" s="377">
        <f>'Background Data'!$BB$26</f>
        <v>16</v>
      </c>
      <c r="G13" s="52" t="s">
        <v>4362</v>
      </c>
      <c r="H13" s="377">
        <v>1</v>
      </c>
      <c r="I13" s="377">
        <v>1</v>
      </c>
      <c r="J13" s="377">
        <v>1</v>
      </c>
      <c r="K13" s="377">
        <v>3</v>
      </c>
      <c r="L13" s="377">
        <v>1</v>
      </c>
      <c r="M13" s="1044"/>
      <c r="O13" s="1044"/>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7">
        <f t="shared" si="2"/>
        <v>5.1472256463245047E-2</v>
      </c>
      <c r="AG13" s="907">
        <f t="shared" si="3"/>
        <v>3.9952950504512641E-2</v>
      </c>
      <c r="AH13" s="907">
        <f t="shared" si="4"/>
        <v>3.3742757000000068E-2</v>
      </c>
      <c r="AI13" s="907">
        <f t="shared" si="0"/>
        <v>2.8346626990629953E-2</v>
      </c>
      <c r="AR13" s="28"/>
      <c r="AS13" s="259"/>
      <c r="AT13" s="259"/>
      <c r="AU13" s="259"/>
      <c r="AV13" s="259"/>
      <c r="AW13" s="259"/>
      <c r="AX13" s="259"/>
      <c r="AY13" s="259"/>
    </row>
    <row r="14" spans="1:51" x14ac:dyDescent="0.25">
      <c r="A14" t="s">
        <v>4443</v>
      </c>
      <c r="B14" t="s">
        <v>95</v>
      </c>
      <c r="C14" t="s">
        <v>4364</v>
      </c>
      <c r="D14">
        <v>2024</v>
      </c>
      <c r="E14" t="s">
        <v>104</v>
      </c>
      <c r="F14" s="377">
        <f>'Background Data'!$BB$26</f>
        <v>16</v>
      </c>
      <c r="G14" s="52" t="s">
        <v>4362</v>
      </c>
      <c r="H14" s="377">
        <v>1</v>
      </c>
      <c r="I14" s="377">
        <v>1</v>
      </c>
      <c r="J14" s="377">
        <v>1</v>
      </c>
      <c r="K14" s="377">
        <v>3</v>
      </c>
      <c r="L14" s="377">
        <v>1</v>
      </c>
      <c r="M14" s="1044"/>
      <c r="O14" s="1044"/>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0">
        <f t="shared" si="2"/>
        <v>5.9552371913176638E-2</v>
      </c>
      <c r="AG14" s="907">
        <f t="shared" si="3"/>
        <v>4.6091098648304407E-2</v>
      </c>
      <c r="AH14" s="907">
        <f t="shared" si="4"/>
        <v>3.4719186000000013E-2</v>
      </c>
      <c r="AI14" s="907">
        <f t="shared" si="0"/>
        <v>3.0838193632699906E-2</v>
      </c>
      <c r="AR14" s="28"/>
    </row>
    <row r="15" spans="1:51" x14ac:dyDescent="0.25">
      <c r="A15" t="s">
        <v>4444</v>
      </c>
      <c r="B15" t="s">
        <v>95</v>
      </c>
      <c r="C15" t="s">
        <v>4364</v>
      </c>
      <c r="D15">
        <v>2024</v>
      </c>
      <c r="E15" t="s">
        <v>104</v>
      </c>
      <c r="F15" s="377">
        <f>'Background Data'!$BB$26</f>
        <v>16</v>
      </c>
      <c r="G15" s="52" t="s">
        <v>4362</v>
      </c>
      <c r="H15" s="377">
        <v>1</v>
      </c>
      <c r="I15" s="377">
        <v>1</v>
      </c>
      <c r="J15" s="377">
        <v>1</v>
      </c>
      <c r="K15" s="377">
        <v>3</v>
      </c>
      <c r="L15" s="377">
        <v>1</v>
      </c>
      <c r="M15" s="1044"/>
      <c r="O15" s="1044"/>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0">
        <f t="shared" si="2"/>
        <v>6.5969998573192523E-2</v>
      </c>
      <c r="AG15" s="390">
        <f t="shared" si="3"/>
        <v>5.1506594313424414E-2</v>
      </c>
      <c r="AH15" s="907">
        <f t="shared" si="4"/>
        <v>4.0008475999999904E-2</v>
      </c>
      <c r="AI15" s="907">
        <f t="shared" si="0"/>
        <v>3.3007601622149774E-2</v>
      </c>
      <c r="AR15" s="28"/>
      <c r="AS15" s="29"/>
      <c r="AT15" s="29"/>
      <c r="AU15" s="29"/>
      <c r="AV15" s="29"/>
      <c r="AW15" s="29"/>
      <c r="AX15" s="29"/>
      <c r="AY15" s="29"/>
    </row>
    <row r="16" spans="1:51" x14ac:dyDescent="0.25">
      <c r="A16" t="s">
        <v>4445</v>
      </c>
      <c r="B16" t="s">
        <v>95</v>
      </c>
      <c r="C16" t="s">
        <v>4364</v>
      </c>
      <c r="D16">
        <v>2024</v>
      </c>
      <c r="E16" t="s">
        <v>104</v>
      </c>
      <c r="F16" s="377">
        <f>'Background Data'!$BB$26</f>
        <v>16</v>
      </c>
      <c r="G16" s="52" t="s">
        <v>4362</v>
      </c>
      <c r="H16" s="377">
        <v>1</v>
      </c>
      <c r="I16" s="377">
        <v>1</v>
      </c>
      <c r="J16" s="377">
        <v>1</v>
      </c>
      <c r="K16" s="377">
        <v>3</v>
      </c>
      <c r="L16" s="377">
        <v>1</v>
      </c>
      <c r="M16" s="1044"/>
      <c r="O16" s="1044"/>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0">
        <f t="shared" si="2"/>
        <v>6.9492577058641425E-2</v>
      </c>
      <c r="AG16" s="390">
        <f t="shared" si="3"/>
        <v>5.5563135660222196E-2</v>
      </c>
      <c r="AH16" s="907">
        <f t="shared" si="4"/>
        <v>4.2980495000000007E-2</v>
      </c>
      <c r="AI16" s="907">
        <f t="shared" si="0"/>
        <v>3.4876177019912746E-2</v>
      </c>
    </row>
    <row r="17" spans="1:35" x14ac:dyDescent="0.25">
      <c r="A17" t="s">
        <v>4446</v>
      </c>
      <c r="B17" t="s">
        <v>95</v>
      </c>
      <c r="C17" t="s">
        <v>4364</v>
      </c>
      <c r="D17">
        <v>2024</v>
      </c>
      <c r="E17" t="s">
        <v>104</v>
      </c>
      <c r="F17" s="377">
        <f>'Background Data'!$BB$27</f>
        <v>18</v>
      </c>
      <c r="G17" s="52" t="s">
        <v>4363</v>
      </c>
      <c r="H17" s="377">
        <v>1</v>
      </c>
      <c r="I17" s="377">
        <v>1</v>
      </c>
      <c r="J17" s="377">
        <v>1</v>
      </c>
      <c r="K17" s="377">
        <v>3</v>
      </c>
      <c r="L17" s="377">
        <v>1</v>
      </c>
      <c r="M17" s="1044"/>
      <c r="O17" s="1044"/>
      <c r="P17">
        <v>14</v>
      </c>
      <c r="Q17" s="434">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0">
        <f t="shared" si="2"/>
        <v>7.0787553566011963E-2</v>
      </c>
      <c r="AG17" s="390">
        <f t="shared" si="3"/>
        <v>5.868565983300833E-2</v>
      </c>
      <c r="AH17" s="390">
        <f t="shared" si="4"/>
        <v>4.7265193000000094E-2</v>
      </c>
      <c r="AI17" s="907">
        <f t="shared" si="0"/>
        <v>3.6465245886922237E-2</v>
      </c>
    </row>
    <row r="18" spans="1:35" x14ac:dyDescent="0.25">
      <c r="A18" t="s">
        <v>4447</v>
      </c>
      <c r="B18" t="s">
        <v>95</v>
      </c>
      <c r="C18" t="s">
        <v>4364</v>
      </c>
      <c r="D18">
        <v>2024</v>
      </c>
      <c r="E18" t="s">
        <v>104</v>
      </c>
      <c r="F18" s="377">
        <f>'Background Data'!$BB$27</f>
        <v>18</v>
      </c>
      <c r="G18" s="52" t="s">
        <v>4363</v>
      </c>
      <c r="H18" s="377">
        <v>1</v>
      </c>
      <c r="I18" s="377">
        <v>1</v>
      </c>
      <c r="J18" s="377">
        <v>1</v>
      </c>
      <c r="K18" s="377">
        <v>3</v>
      </c>
      <c r="L18" s="377">
        <v>1</v>
      </c>
      <c r="M18" s="1044"/>
      <c r="O18" s="1044"/>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0">
        <f t="shared" si="2"/>
        <v>6.8436074445778705E-2</v>
      </c>
      <c r="AG18" s="390">
        <f t="shared" si="3"/>
        <v>5.9479262832586755E-2</v>
      </c>
      <c r="AH18" s="390">
        <f t="shared" si="4"/>
        <v>3.6264391999999979E-2</v>
      </c>
      <c r="AI18" s="390">
        <f t="shared" si="0"/>
        <v>3.7796134284111549E-2</v>
      </c>
    </row>
    <row r="19" spans="1:35" x14ac:dyDescent="0.25">
      <c r="A19" t="s">
        <v>4448</v>
      </c>
      <c r="B19" t="s">
        <v>95</v>
      </c>
      <c r="C19" t="s">
        <v>782</v>
      </c>
      <c r="D19">
        <v>2023</v>
      </c>
      <c r="E19" t="s">
        <v>104</v>
      </c>
      <c r="F19" s="377">
        <f>'Background Data'!$BB$28</f>
        <v>19</v>
      </c>
      <c r="G19" s="52" t="s">
        <v>784</v>
      </c>
      <c r="H19" s="377">
        <v>1</v>
      </c>
      <c r="I19" s="377">
        <v>1</v>
      </c>
      <c r="J19" s="377">
        <v>1</v>
      </c>
      <c r="K19" s="377">
        <v>3</v>
      </c>
      <c r="L19" s="377">
        <v>1</v>
      </c>
      <c r="M19" s="1044"/>
      <c r="O19" s="1044"/>
      <c r="P19">
        <v>16</v>
      </c>
      <c r="Q19" s="60">
        <v>0.35831813194892914</v>
      </c>
      <c r="R19" s="60">
        <v>0.43363102904955464</v>
      </c>
      <c r="S19" s="60">
        <v>0.57033030525735695</v>
      </c>
      <c r="T19" s="60">
        <v>0.60609105900000004</v>
      </c>
      <c r="U19" s="434">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0">
        <f t="shared" si="2"/>
        <v>6.2719335905052631E-2</v>
      </c>
      <c r="AG19" s="390">
        <f t="shared" si="3"/>
        <v>5.7761033851759847E-2</v>
      </c>
      <c r="AH19" s="390">
        <f t="shared" si="4"/>
        <v>5.2590132999999928E-2</v>
      </c>
      <c r="AI19" s="390">
        <f t="shared" si="0"/>
        <v>3.8890168272414094E-2</v>
      </c>
    </row>
    <row r="20" spans="1:35" x14ac:dyDescent="0.25">
      <c r="A20" t="s">
        <v>4449</v>
      </c>
      <c r="B20" t="s">
        <v>95</v>
      </c>
      <c r="C20" t="s">
        <v>420</v>
      </c>
      <c r="D20">
        <v>2009</v>
      </c>
      <c r="E20" t="s">
        <v>104</v>
      </c>
      <c r="F20" s="377">
        <f>'Background Data'!$BB$30</f>
        <v>17</v>
      </c>
      <c r="G20" s="52" t="s">
        <v>421</v>
      </c>
      <c r="H20" s="377">
        <v>2</v>
      </c>
      <c r="I20" s="377">
        <v>1</v>
      </c>
      <c r="J20" s="377">
        <v>4</v>
      </c>
      <c r="K20" s="377">
        <v>3</v>
      </c>
      <c r="L20" s="377">
        <v>1</v>
      </c>
      <c r="M20" s="1044"/>
      <c r="O20" s="1044"/>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0">
        <f t="shared" si="2"/>
        <v>5.5118263923052024E-2</v>
      </c>
      <c r="AG20" s="390">
        <f t="shared" si="3"/>
        <v>5.4300151137124164E-2</v>
      </c>
      <c r="AH20" s="390">
        <f t="shared" si="4"/>
        <v>5.3805407000000027E-2</v>
      </c>
      <c r="AI20" s="390">
        <f t="shared" si="0"/>
        <v>3.9768673912762953E-2</v>
      </c>
    </row>
    <row r="21" spans="1:35" x14ac:dyDescent="0.25">
      <c r="A21" t="s">
        <v>4450</v>
      </c>
      <c r="B21" t="s">
        <v>95</v>
      </c>
      <c r="C21" t="s">
        <v>170</v>
      </c>
      <c r="D21">
        <v>2022</v>
      </c>
      <c r="E21" t="s">
        <v>104</v>
      </c>
      <c r="F21" s="377">
        <f>'Background Data'!$AG$25</f>
        <v>13</v>
      </c>
      <c r="G21" s="52" t="s">
        <v>429</v>
      </c>
      <c r="H21" s="377">
        <v>1</v>
      </c>
      <c r="I21" s="377">
        <v>1</v>
      </c>
      <c r="J21" s="377">
        <v>1</v>
      </c>
      <c r="K21" s="377">
        <v>1</v>
      </c>
      <c r="L21" s="377">
        <v>1</v>
      </c>
      <c r="M21" s="1044"/>
      <c r="O21" s="1044"/>
      <c r="P21">
        <v>18</v>
      </c>
      <c r="Q21" s="60">
        <v>0.25619656199869878</v>
      </c>
      <c r="R21" s="60">
        <v>0.32379836617947216</v>
      </c>
      <c r="S21" s="60">
        <v>0.48318067799431297</v>
      </c>
      <c r="T21" s="434">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0">
        <f t="shared" si="2"/>
        <v>4.7003306027178338E-2</v>
      </c>
      <c r="AG21" s="390">
        <f t="shared" si="3"/>
        <v>4.9699727768544422E-2</v>
      </c>
      <c r="AH21" s="390">
        <f t="shared" si="4"/>
        <v>5.7322736000000041E-2</v>
      </c>
      <c r="AI21" s="390">
        <f t="shared" si="0"/>
        <v>4.045297726609165E-2</v>
      </c>
    </row>
    <row r="22" spans="1:35" x14ac:dyDescent="0.25">
      <c r="A22" t="s">
        <v>4451</v>
      </c>
      <c r="B22" t="s">
        <v>95</v>
      </c>
      <c r="C22" t="s">
        <v>170</v>
      </c>
      <c r="D22">
        <v>2022</v>
      </c>
      <c r="E22" t="s">
        <v>104</v>
      </c>
      <c r="F22" s="377">
        <f>'Background Data'!$AG$25</f>
        <v>13</v>
      </c>
      <c r="G22" s="52" t="s">
        <v>428</v>
      </c>
      <c r="H22" s="377">
        <v>1</v>
      </c>
      <c r="I22" s="377">
        <v>1</v>
      </c>
      <c r="J22" s="377">
        <v>1</v>
      </c>
      <c r="K22" s="377">
        <v>1</v>
      </c>
      <c r="L22" s="377">
        <v>1</v>
      </c>
      <c r="M22" s="1044"/>
      <c r="O22" s="1044"/>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7">
        <f t="shared" si="2"/>
        <v>3.9277357653924122E-2</v>
      </c>
      <c r="AG22" s="390">
        <f t="shared" si="3"/>
        <v>4.4394880951139637E-2</v>
      </c>
      <c r="AH22" s="390">
        <f t="shared" si="4"/>
        <v>5.2845677999999952E-2</v>
      </c>
      <c r="AI22" s="390">
        <f t="shared" si="0"/>
        <v>4.0964404393333487E-2</v>
      </c>
    </row>
    <row r="23" spans="1:35" x14ac:dyDescent="0.25">
      <c r="A23" t="s">
        <v>4452</v>
      </c>
      <c r="B23" t="s">
        <v>95</v>
      </c>
      <c r="C23" t="s">
        <v>170</v>
      </c>
      <c r="D23">
        <v>2022</v>
      </c>
      <c r="E23" t="s">
        <v>104</v>
      </c>
      <c r="F23" s="377">
        <f>'Background Data'!$AG$28</f>
        <v>12</v>
      </c>
      <c r="G23" s="52" t="s">
        <v>428</v>
      </c>
      <c r="H23" s="377">
        <v>1</v>
      </c>
      <c r="I23" s="377">
        <v>1</v>
      </c>
      <c r="J23" s="377">
        <v>1</v>
      </c>
      <c r="K23" s="377">
        <v>1</v>
      </c>
      <c r="L23" s="377">
        <v>1</v>
      </c>
      <c r="M23" s="1044"/>
      <c r="O23" s="1044"/>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7">
        <f t="shared" si="2"/>
        <v>3.1904195773890143E-2</v>
      </c>
      <c r="AG23" s="390">
        <f t="shared" si="3"/>
        <v>3.8669782810489384E-2</v>
      </c>
      <c r="AH23" s="390">
        <f t="shared" si="4"/>
        <v>4.7400672000000033E-2</v>
      </c>
      <c r="AI23" s="390">
        <f t="shared" si="0"/>
        <v>4.1324281355421655E-2</v>
      </c>
    </row>
    <row r="24" spans="1:35" x14ac:dyDescent="0.25">
      <c r="A24" t="s">
        <v>4453</v>
      </c>
      <c r="B24" t="s">
        <v>95</v>
      </c>
      <c r="C24" t="s">
        <v>170</v>
      </c>
      <c r="D24">
        <v>2022</v>
      </c>
      <c r="E24" t="s">
        <v>104</v>
      </c>
      <c r="F24" s="377">
        <f>'Background Data'!$AG$25</f>
        <v>13</v>
      </c>
      <c r="G24" s="52" t="s">
        <v>429</v>
      </c>
      <c r="H24" s="377">
        <v>1</v>
      </c>
      <c r="I24" s="377">
        <v>1</v>
      </c>
      <c r="J24" s="377">
        <v>1</v>
      </c>
      <c r="K24" s="377">
        <v>1</v>
      </c>
      <c r="L24" s="377">
        <v>1</v>
      </c>
      <c r="M24" s="1044"/>
      <c r="O24" s="1044"/>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7">
        <f t="shared" si="2"/>
        <v>2.5771435340285254E-2</v>
      </c>
      <c r="AG24" s="907">
        <f t="shared" si="3"/>
        <v>3.3317387589808539E-2</v>
      </c>
      <c r="AH24" s="390">
        <f t="shared" si="4"/>
        <v>4.8350632000000004E-2</v>
      </c>
      <c r="AI24" s="390">
        <f t="shared" si="0"/>
        <v>4.1553934213289678E-2</v>
      </c>
    </row>
    <row r="25" spans="1:35" x14ac:dyDescent="0.25">
      <c r="A25" t="s">
        <v>4454</v>
      </c>
      <c r="B25" t="s">
        <v>95</v>
      </c>
      <c r="C25" t="s">
        <v>170</v>
      </c>
      <c r="D25">
        <v>2022</v>
      </c>
      <c r="E25" t="s">
        <v>104</v>
      </c>
      <c r="F25" s="377">
        <f>'Background Data'!$AG$25</f>
        <v>13</v>
      </c>
      <c r="G25" s="52" t="s">
        <v>428</v>
      </c>
      <c r="H25" s="377">
        <v>1</v>
      </c>
      <c r="I25" s="377">
        <v>1</v>
      </c>
      <c r="J25" s="377">
        <v>1</v>
      </c>
      <c r="K25" s="377">
        <v>1</v>
      </c>
      <c r="L25" s="377">
        <v>1</v>
      </c>
      <c r="M25" s="1044"/>
      <c r="O25" s="1044"/>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7">
        <f t="shared" si="2"/>
        <v>2.0686419175272835E-2</v>
      </c>
      <c r="AG25" s="907">
        <f t="shared" si="3"/>
        <v>2.8383565543174644E-2</v>
      </c>
      <c r="AH25" s="390">
        <f t="shared" si="4"/>
        <v>4.3415203000000013E-2</v>
      </c>
      <c r="AI25" s="390">
        <f t="shared" si="0"/>
        <v>4.1674689027870637E-2</v>
      </c>
    </row>
    <row r="26" spans="1:35" x14ac:dyDescent="0.25">
      <c r="A26" t="s">
        <v>4455</v>
      </c>
      <c r="B26" t="s">
        <v>95</v>
      </c>
      <c r="C26" t="s">
        <v>170</v>
      </c>
      <c r="D26">
        <v>2022</v>
      </c>
      <c r="E26" t="s">
        <v>104</v>
      </c>
      <c r="F26" s="377">
        <f>'Background Data'!$AG$28</f>
        <v>12</v>
      </c>
      <c r="G26" s="52" t="s">
        <v>428</v>
      </c>
      <c r="H26" s="377">
        <v>1</v>
      </c>
      <c r="I26" s="377">
        <v>1</v>
      </c>
      <c r="J26" s="377">
        <v>1</v>
      </c>
      <c r="K26" s="377">
        <v>1</v>
      </c>
      <c r="L26" s="377">
        <v>1</v>
      </c>
      <c r="M26" s="1044"/>
      <c r="O26" s="1044"/>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7">
        <f t="shared" si="2"/>
        <v>1.6599382602990001E-2</v>
      </c>
      <c r="AG26" s="907">
        <f t="shared" si="3"/>
        <v>2.4130278253781223E-2</v>
      </c>
      <c r="AH26" s="390">
        <f t="shared" si="4"/>
        <v>3.8091299999999995E-2</v>
      </c>
      <c r="AI26" s="390">
        <f t="shared" si="0"/>
        <v>4.1707871860098056E-2</v>
      </c>
    </row>
    <row r="27" spans="1:35" x14ac:dyDescent="0.25">
      <c r="A27" t="s">
        <v>4456</v>
      </c>
      <c r="B27" t="s">
        <v>95</v>
      </c>
      <c r="C27" t="s">
        <v>170</v>
      </c>
      <c r="D27">
        <v>2022</v>
      </c>
      <c r="E27" t="s">
        <v>104</v>
      </c>
      <c r="F27" s="377">
        <f>'Background Data'!$AG$27</f>
        <v>13</v>
      </c>
      <c r="G27" s="52" t="s">
        <v>428</v>
      </c>
      <c r="H27" s="377">
        <v>1</v>
      </c>
      <c r="I27" s="377">
        <v>1</v>
      </c>
      <c r="J27" s="377">
        <v>1</v>
      </c>
      <c r="K27" s="377">
        <v>1</v>
      </c>
      <c r="L27" s="377">
        <v>1</v>
      </c>
      <c r="M27" s="1044"/>
      <c r="O27" s="1044"/>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7">
        <f t="shared" si="2"/>
        <v>1.3283347767936993E-2</v>
      </c>
      <c r="AG27" s="907">
        <f t="shared" si="3"/>
        <v>2.0393864969736997E-2</v>
      </c>
      <c r="AH27" s="907">
        <f t="shared" si="4"/>
        <v>3.3106916999999986E-2</v>
      </c>
      <c r="AI27" s="390">
        <f t="shared" si="0"/>
        <v>4.1674808770905125E-2</v>
      </c>
    </row>
    <row r="28" spans="1:35" x14ac:dyDescent="0.25">
      <c r="A28" t="s">
        <v>4457</v>
      </c>
      <c r="B28" t="s">
        <v>95</v>
      </c>
      <c r="C28" t="s">
        <v>170</v>
      </c>
      <c r="D28">
        <v>2022</v>
      </c>
      <c r="E28" t="s">
        <v>104</v>
      </c>
      <c r="F28" s="377">
        <f>'Background Data'!$AG$25</f>
        <v>13</v>
      </c>
      <c r="G28" s="52" t="s">
        <v>429</v>
      </c>
      <c r="H28" s="377">
        <v>1</v>
      </c>
      <c r="I28" s="377">
        <v>1</v>
      </c>
      <c r="J28" s="377">
        <v>1</v>
      </c>
      <c r="K28" s="377">
        <v>1</v>
      </c>
      <c r="L28" s="377">
        <v>1</v>
      </c>
      <c r="M28" s="1044"/>
      <c r="O28" s="1044"/>
      <c r="P28">
        <v>25</v>
      </c>
      <c r="Q28" s="434">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7">
        <f t="shared" si="2"/>
        <v>1.0718927901032835E-2</v>
      </c>
      <c r="AG28" s="907">
        <f t="shared" si="3"/>
        <v>1.7258722416802375E-2</v>
      </c>
      <c r="AH28" s="907">
        <f t="shared" si="4"/>
        <v>3.0579899999999993E-2</v>
      </c>
      <c r="AI28" s="390">
        <f t="shared" si="0"/>
        <v>4.1596825821225258E-2</v>
      </c>
    </row>
    <row r="29" spans="1:35" x14ac:dyDescent="0.25">
      <c r="A29" t="s">
        <v>4458</v>
      </c>
      <c r="B29" t="s">
        <v>95</v>
      </c>
      <c r="C29" t="s">
        <v>170</v>
      </c>
      <c r="D29">
        <v>2022</v>
      </c>
      <c r="E29" t="s">
        <v>104</v>
      </c>
      <c r="F29" s="377">
        <f>'Background Data'!$AG$25</f>
        <v>13</v>
      </c>
      <c r="G29" s="52" t="s">
        <v>428</v>
      </c>
      <c r="H29" s="377">
        <v>1</v>
      </c>
      <c r="I29" s="377">
        <v>1</v>
      </c>
      <c r="J29" s="377">
        <v>1</v>
      </c>
      <c r="K29" s="377">
        <v>1</v>
      </c>
      <c r="L29" s="377">
        <v>1</v>
      </c>
      <c r="M29" s="1044"/>
      <c r="O29" s="1044"/>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7">
        <f t="shared" si="2"/>
        <v>8.6673079734534281E-3</v>
      </c>
      <c r="AG29" s="907">
        <f t="shared" si="3"/>
        <v>1.4623899124118434E-2</v>
      </c>
      <c r="AH29" s="907">
        <f t="shared" si="4"/>
        <v>2.7038198000000013E-2</v>
      </c>
      <c r="AI29" s="390">
        <f t="shared" si="0"/>
        <v>4.1495249071991647E-2</v>
      </c>
    </row>
    <row r="30" spans="1:35" x14ac:dyDescent="0.25">
      <c r="A30" t="s">
        <v>4459</v>
      </c>
      <c r="B30" t="s">
        <v>95</v>
      </c>
      <c r="C30" t="s">
        <v>4301</v>
      </c>
      <c r="D30">
        <v>2013</v>
      </c>
      <c r="E30" t="s">
        <v>104</v>
      </c>
      <c r="F30" s="377">
        <f>'Background Data'!$BB$31</f>
        <v>24</v>
      </c>
      <c r="G30" s="52" t="s">
        <v>430</v>
      </c>
      <c r="H30" s="377">
        <v>3</v>
      </c>
      <c r="I30" s="377">
        <v>1</v>
      </c>
      <c r="J30" s="377">
        <v>3</v>
      </c>
      <c r="K30" s="377">
        <v>3</v>
      </c>
      <c r="L30" s="377">
        <v>1</v>
      </c>
      <c r="M30" s="1044"/>
      <c r="O30" s="1044"/>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7">
        <f t="shared" si="2"/>
        <v>6.9901043590746698E-3</v>
      </c>
      <c r="AG30" s="907">
        <f t="shared" si="3"/>
        <v>1.2332334154962127E-2</v>
      </c>
      <c r="AH30" s="907">
        <f t="shared" si="4"/>
        <v>2.1212070999999999E-2</v>
      </c>
      <c r="AI30" s="390">
        <f t="shared" si="0"/>
        <v>4.1391404584137814E-2</v>
      </c>
    </row>
    <row r="31" spans="1:35" x14ac:dyDescent="0.25">
      <c r="A31" t="s">
        <v>4460</v>
      </c>
      <c r="B31" t="s">
        <v>95</v>
      </c>
      <c r="C31" t="s">
        <v>4301</v>
      </c>
      <c r="D31">
        <v>2013</v>
      </c>
      <c r="E31" t="s">
        <v>104</v>
      </c>
      <c r="F31" s="377">
        <f>'Background Data'!$BB$31</f>
        <v>24</v>
      </c>
      <c r="G31" s="52" t="s">
        <v>430</v>
      </c>
      <c r="H31" s="377">
        <v>3</v>
      </c>
      <c r="I31" s="377">
        <v>1</v>
      </c>
      <c r="J31" s="377">
        <v>3</v>
      </c>
      <c r="K31" s="377">
        <v>3</v>
      </c>
      <c r="L31" s="377">
        <v>1</v>
      </c>
      <c r="M31" s="1044"/>
      <c r="O31" s="1044"/>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7">
        <f t="shared" si="2"/>
        <v>5.7063351314641658E-3</v>
      </c>
      <c r="AG31" s="907">
        <f t="shared" si="3"/>
        <v>1.0497488330474758E-2</v>
      </c>
      <c r="AH31" s="907">
        <f t="shared" si="4"/>
        <v>1.780174499999998E-2</v>
      </c>
      <c r="AI31" s="907">
        <f t="shared" si="0"/>
        <v>4.1306618418596841E-2</v>
      </c>
    </row>
    <row r="32" spans="1:35" x14ac:dyDescent="0.25">
      <c r="A32" t="s">
        <v>4487</v>
      </c>
      <c r="B32" t="s">
        <v>95</v>
      </c>
      <c r="C32" t="s">
        <v>1644</v>
      </c>
      <c r="D32">
        <v>2022</v>
      </c>
      <c r="E32" t="s">
        <v>104</v>
      </c>
      <c r="F32" s="377">
        <f>'Background Data'!$BB$32</f>
        <v>30</v>
      </c>
      <c r="G32" s="52" t="s">
        <v>1787</v>
      </c>
      <c r="H32" s="377">
        <v>3</v>
      </c>
      <c r="I32" s="377">
        <v>1</v>
      </c>
      <c r="J32" s="377">
        <v>1</v>
      </c>
      <c r="K32" s="377">
        <v>3</v>
      </c>
      <c r="L32" s="377">
        <v>1</v>
      </c>
      <c r="M32" s="1044"/>
      <c r="O32" s="1044"/>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7">
        <f t="shared" si="2"/>
        <v>4.6406940306708971E-3</v>
      </c>
      <c r="AG32" s="907">
        <f t="shared" si="3"/>
        <v>8.8854693312111765E-3</v>
      </c>
      <c r="AH32" s="907">
        <f t="shared" si="4"/>
        <v>1.5607167000000005E-2</v>
      </c>
      <c r="AI32" s="907">
        <f t="shared" si="0"/>
        <v>4.1262216636302251E-2</v>
      </c>
    </row>
    <row r="33" spans="1:42" x14ac:dyDescent="0.25">
      <c r="A33" t="s">
        <v>4488</v>
      </c>
      <c r="B33" t="s">
        <v>95</v>
      </c>
      <c r="C33" t="s">
        <v>1644</v>
      </c>
      <c r="D33">
        <v>2022</v>
      </c>
      <c r="E33" t="s">
        <v>104</v>
      </c>
      <c r="F33" s="377">
        <f>'Background Data'!$BB$32</f>
        <v>30</v>
      </c>
      <c r="G33" s="52" t="s">
        <v>1787</v>
      </c>
      <c r="H33" s="377">
        <v>3</v>
      </c>
      <c r="I33" s="377">
        <v>1</v>
      </c>
      <c r="J33" s="377">
        <v>1</v>
      </c>
      <c r="K33" s="377">
        <v>3</v>
      </c>
      <c r="L33" s="377">
        <v>1</v>
      </c>
      <c r="M33" s="1044"/>
      <c r="O33" s="1044"/>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7">
        <f t="shared" si="2"/>
        <v>1.2885614022462438E-2</v>
      </c>
      <c r="AG33" s="907">
        <f t="shared" si="3"/>
        <v>1.6175268051446368E-2</v>
      </c>
      <c r="AH33" s="907">
        <f t="shared" si="4"/>
        <v>1.3815777000000001E-2</v>
      </c>
      <c r="AI33" s="907">
        <f t="shared" si="0"/>
        <v>4.1279525298187236E-2</v>
      </c>
    </row>
    <row r="34" spans="1:42" x14ac:dyDescent="0.25">
      <c r="A34" t="s">
        <v>4461</v>
      </c>
      <c r="B34" t="s">
        <v>95</v>
      </c>
      <c r="C34" t="s">
        <v>1644</v>
      </c>
      <c r="D34">
        <v>2022</v>
      </c>
      <c r="E34" t="s">
        <v>104</v>
      </c>
      <c r="F34" s="377">
        <f>'Background Data'!$BB$33</f>
        <v>30</v>
      </c>
      <c r="G34" s="52" t="s">
        <v>1787</v>
      </c>
      <c r="H34" s="377">
        <v>3</v>
      </c>
      <c r="I34" s="377">
        <v>1</v>
      </c>
      <c r="J34" s="377">
        <v>1</v>
      </c>
      <c r="K34" s="377">
        <v>3</v>
      </c>
      <c r="L34" s="377">
        <v>1</v>
      </c>
      <c r="M34" s="1044"/>
      <c r="O34" s="1044"/>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92" t="s">
        <v>4376</v>
      </c>
      <c r="X34" s="1092"/>
      <c r="Y34" s="60"/>
      <c r="Z34" s="60">
        <v>7.7332525842592315E-2</v>
      </c>
      <c r="AA34" s="60">
        <v>5.4310769130626269E-2</v>
      </c>
      <c r="AB34" s="60">
        <v>4.1379870465185209E-2</v>
      </c>
      <c r="AC34" s="60">
        <f t="shared" si="1"/>
        <v>4.3823777855398927E-2</v>
      </c>
      <c r="AD34" s="60"/>
      <c r="AE34">
        <v>31</v>
      </c>
      <c r="AF34" s="907">
        <f t="shared" si="2"/>
        <v>1.0577947367994119E-2</v>
      </c>
      <c r="AG34" s="907">
        <f t="shared" si="3"/>
        <v>1.371668095128975E-2</v>
      </c>
      <c r="AH34" s="907">
        <f t="shared" si="4"/>
        <v>1.1974058999999995E-2</v>
      </c>
      <c r="AI34" s="907">
        <f t="shared" si="0"/>
        <v>4.1379870465185209E-2</v>
      </c>
    </row>
    <row r="35" spans="1:42" x14ac:dyDescent="0.25">
      <c r="A35" s="202" t="s">
        <v>4462</v>
      </c>
      <c r="B35" s="202" t="s">
        <v>95</v>
      </c>
      <c r="C35" s="202" t="s">
        <v>1644</v>
      </c>
      <c r="D35" s="202">
        <v>2022</v>
      </c>
      <c r="E35" s="202" t="s">
        <v>104</v>
      </c>
      <c r="F35" s="742">
        <f>'Background Data'!$BB$33</f>
        <v>30</v>
      </c>
      <c r="G35" s="203" t="s">
        <v>1787</v>
      </c>
      <c r="H35" s="742">
        <v>3</v>
      </c>
      <c r="I35" s="742">
        <v>1</v>
      </c>
      <c r="J35" s="742">
        <v>1</v>
      </c>
      <c r="K35" s="742">
        <v>3</v>
      </c>
      <c r="L35" s="742">
        <v>1</v>
      </c>
      <c r="M35" s="1044"/>
      <c r="O35" s="1044"/>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92"/>
      <c r="X35" s="1092"/>
      <c r="Y35" s="60"/>
      <c r="Z35" s="60">
        <v>8.1030345683096305E-2</v>
      </c>
      <c r="AA35" s="60">
        <v>5.1599983865951438E-2</v>
      </c>
      <c r="AB35" s="60">
        <v>4.1584578198229361E-2</v>
      </c>
      <c r="AC35" s="60">
        <f t="shared" si="1"/>
        <v>2.239199657169566E-3</v>
      </c>
      <c r="AD35" s="60"/>
      <c r="AE35">
        <v>32</v>
      </c>
      <c r="AF35" s="907">
        <f t="shared" si="2"/>
        <v>8.6835575180973026E-3</v>
      </c>
      <c r="AG35" s="907">
        <f t="shared" si="3"/>
        <v>1.1649405894920639E-2</v>
      </c>
      <c r="AH35" s="907">
        <f t="shared" si="4"/>
        <v>1.0165449000000007E-2</v>
      </c>
      <c r="AI35" s="907">
        <f t="shared" si="0"/>
        <v>4.1584578198229361E-2</v>
      </c>
    </row>
    <row r="36" spans="1:42" x14ac:dyDescent="0.25">
      <c r="A36" t="s">
        <v>1004</v>
      </c>
      <c r="B36" t="s">
        <v>95</v>
      </c>
      <c r="C36" t="s">
        <v>4364</v>
      </c>
      <c r="D36">
        <v>2024</v>
      </c>
      <c r="E36" t="s">
        <v>104</v>
      </c>
      <c r="F36" s="377">
        <f>'Background Data'!$BB$25</f>
        <v>14</v>
      </c>
      <c r="G36" s="52" t="s">
        <v>4361</v>
      </c>
      <c r="H36" s="377">
        <v>1</v>
      </c>
      <c r="I36" s="377">
        <v>1</v>
      </c>
      <c r="J36" s="377">
        <v>1</v>
      </c>
      <c r="K36" s="377">
        <v>3</v>
      </c>
      <c r="L36" s="377">
        <v>1</v>
      </c>
      <c r="M36" s="1044"/>
      <c r="O36" s="1044"/>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7">
        <f t="shared" si="2"/>
        <v>7.1284313058936066E-3</v>
      </c>
      <c r="AG36" s="907">
        <f t="shared" si="3"/>
        <v>9.9087085823198334E-3</v>
      </c>
      <c r="AH36" s="907">
        <f t="shared" si="4"/>
        <v>8.4110250000000025E-3</v>
      </c>
      <c r="AI36" s="907">
        <f t="shared" si="0"/>
        <v>4.1914974558253215E-2</v>
      </c>
    </row>
    <row r="37" spans="1:42" x14ac:dyDescent="0.25">
      <c r="A37" t="s">
        <v>1005</v>
      </c>
      <c r="B37" t="s">
        <v>95</v>
      </c>
      <c r="C37" t="s">
        <v>4364</v>
      </c>
      <c r="D37">
        <v>2024</v>
      </c>
      <c r="E37" t="s">
        <v>104</v>
      </c>
      <c r="F37" s="377">
        <f>'Background Data'!$BB$25</f>
        <v>14</v>
      </c>
      <c r="G37" s="52" t="s">
        <v>4361</v>
      </c>
      <c r="H37" s="377">
        <v>1</v>
      </c>
      <c r="I37" s="377">
        <v>1</v>
      </c>
      <c r="J37" s="377">
        <v>1</v>
      </c>
      <c r="K37" s="377">
        <v>3</v>
      </c>
      <c r="L37" s="377">
        <v>1</v>
      </c>
      <c r="M37" s="1044"/>
      <c r="O37" s="1044"/>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7">
        <f t="shared" si="2"/>
        <v>5.8518104793965006E-3</v>
      </c>
      <c r="AG37" s="907">
        <f t="shared" si="3"/>
        <v>8.4408897329999594E-3</v>
      </c>
      <c r="AH37" s="907">
        <f t="shared" si="4"/>
        <v>6.8484539999999899E-3</v>
      </c>
      <c r="AI37" s="907">
        <f t="shared" si="0"/>
        <v>4.2392385606189853E-2</v>
      </c>
    </row>
    <row r="38" spans="1:42" x14ac:dyDescent="0.25">
      <c r="A38" t="s">
        <v>1006</v>
      </c>
      <c r="B38" t="s">
        <v>95</v>
      </c>
      <c r="C38" t="s">
        <v>4364</v>
      </c>
      <c r="D38">
        <v>2024</v>
      </c>
      <c r="E38" t="s">
        <v>104</v>
      </c>
      <c r="F38" s="377">
        <f>'Background Data'!$BB$25</f>
        <v>14</v>
      </c>
      <c r="G38" s="52" t="s">
        <v>4361</v>
      </c>
      <c r="H38" s="377">
        <v>1</v>
      </c>
      <c r="I38" s="377">
        <v>1</v>
      </c>
      <c r="J38" s="377">
        <v>1</v>
      </c>
      <c r="K38" s="377">
        <v>3</v>
      </c>
      <c r="L38" s="377">
        <v>1</v>
      </c>
      <c r="M38" s="1044"/>
      <c r="O38" s="1044"/>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7">
        <f t="shared" si="2"/>
        <v>4.8038178972788677E-3</v>
      </c>
      <c r="AG38" s="907">
        <f t="shared" si="3"/>
        <v>7.2013622700519489E-3</v>
      </c>
      <c r="AH38" s="907">
        <f t="shared" si="4"/>
        <v>5.2719060000000068E-3</v>
      </c>
      <c r="AI38" s="907">
        <f t="shared" si="0"/>
        <v>0</v>
      </c>
    </row>
    <row r="39" spans="1:42" x14ac:dyDescent="0.25">
      <c r="A39" t="s">
        <v>1007</v>
      </c>
      <c r="B39" t="s">
        <v>95</v>
      </c>
      <c r="C39" t="s">
        <v>4364</v>
      </c>
      <c r="D39">
        <v>2024</v>
      </c>
      <c r="E39" t="s">
        <v>104</v>
      </c>
      <c r="F39" s="377">
        <f>'Background Data'!$BB$25</f>
        <v>14</v>
      </c>
      <c r="G39" s="52" t="s">
        <v>4361</v>
      </c>
      <c r="H39" s="377">
        <v>1</v>
      </c>
      <c r="I39" s="377">
        <v>1</v>
      </c>
      <c r="J39" s="377">
        <v>1</v>
      </c>
      <c r="K39" s="377">
        <v>3</v>
      </c>
      <c r="L39" s="377">
        <v>1</v>
      </c>
      <c r="M39" s="1044"/>
      <c r="O39" s="1044"/>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7">
        <f t="shared" si="2"/>
        <v>3.9435088459318472E-3</v>
      </c>
      <c r="AG39" s="907">
        <f t="shared" si="3"/>
        <v>6.1530687274812049E-3</v>
      </c>
      <c r="AH39" s="907">
        <f t="shared" si="4"/>
        <v>1.7326763000000002E-2</v>
      </c>
      <c r="AI39" s="907">
        <f t="shared" si="0"/>
        <v>0</v>
      </c>
    </row>
    <row r="40" spans="1:42" x14ac:dyDescent="0.25">
      <c r="A40" t="s">
        <v>4390</v>
      </c>
      <c r="B40" t="s">
        <v>95</v>
      </c>
      <c r="C40" t="s">
        <v>4364</v>
      </c>
      <c r="D40">
        <v>2024</v>
      </c>
      <c r="E40" t="s">
        <v>104</v>
      </c>
      <c r="F40" s="377">
        <f>'Background Data'!$BB$25</f>
        <v>14</v>
      </c>
      <c r="G40" s="52" t="s">
        <v>4361</v>
      </c>
      <c r="H40" s="377">
        <v>1</v>
      </c>
      <c r="I40" s="377">
        <v>1</v>
      </c>
      <c r="J40" s="377">
        <v>1</v>
      </c>
      <c r="K40" s="377">
        <v>3</v>
      </c>
      <c r="L40" s="377">
        <v>1</v>
      </c>
      <c r="M40" s="1044"/>
      <c r="O40" s="1044"/>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7">
        <f t="shared" si="2"/>
        <v>3.2372713434353443E-3</v>
      </c>
      <c r="AG40" s="907">
        <f t="shared" si="3"/>
        <v>5.2651780526930467E-3</v>
      </c>
      <c r="AH40" s="907">
        <f t="shared" si="4"/>
        <v>8.2999999999999949E-3</v>
      </c>
      <c r="AI40" s="907">
        <f t="shared" si="0"/>
        <v>0</v>
      </c>
    </row>
    <row r="41" spans="1:42" x14ac:dyDescent="0.25">
      <c r="A41" t="s">
        <v>1009</v>
      </c>
      <c r="B41" t="s">
        <v>95</v>
      </c>
      <c r="C41" t="s">
        <v>4364</v>
      </c>
      <c r="D41">
        <v>2024</v>
      </c>
      <c r="E41" t="s">
        <v>104</v>
      </c>
      <c r="F41" s="377">
        <f>'Background Data'!$BB$25</f>
        <v>14</v>
      </c>
      <c r="G41" s="52" t="s">
        <v>4361</v>
      </c>
      <c r="H41" s="377">
        <v>1</v>
      </c>
      <c r="I41" s="377">
        <v>1</v>
      </c>
      <c r="J41" s="377">
        <v>1</v>
      </c>
      <c r="K41" s="377">
        <v>3</v>
      </c>
      <c r="L41" s="377">
        <v>1</v>
      </c>
      <c r="M41" s="1044"/>
      <c r="O41" s="1044"/>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7">
        <f t="shared" si="2"/>
        <v>2.6575129308607625E-3</v>
      </c>
      <c r="AG41" s="907">
        <f t="shared" si="3"/>
        <v>4.512011926610434E-3</v>
      </c>
      <c r="AH41" s="907">
        <f t="shared" si="4"/>
        <v>6.800000000000004E-3</v>
      </c>
      <c r="AI41" s="907">
        <f t="shared" si="0"/>
        <v>0</v>
      </c>
    </row>
    <row r="42" spans="1:42" x14ac:dyDescent="0.25">
      <c r="A42" t="s">
        <v>4395</v>
      </c>
      <c r="B42" t="s">
        <v>95</v>
      </c>
      <c r="C42" t="s">
        <v>4364</v>
      </c>
      <c r="D42">
        <v>2024</v>
      </c>
      <c r="E42" t="s">
        <v>104</v>
      </c>
      <c r="F42" s="377">
        <f>'Background Data'!$BB$25</f>
        <v>14</v>
      </c>
      <c r="G42" s="52" t="s">
        <v>4361</v>
      </c>
      <c r="H42" s="377">
        <v>1</v>
      </c>
      <c r="I42" s="377">
        <v>1</v>
      </c>
      <c r="J42" s="377">
        <v>1</v>
      </c>
      <c r="K42" s="377">
        <v>3</v>
      </c>
      <c r="L42" s="377">
        <v>1</v>
      </c>
      <c r="M42" s="1044"/>
      <c r="O42" s="1044"/>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7">
        <f t="shared" si="2"/>
        <v>2.1815826442888389E-3</v>
      </c>
      <c r="AG42" s="907">
        <f t="shared" si="3"/>
        <v>3.8721596942343332E-3</v>
      </c>
      <c r="AH42" s="907">
        <f t="shared" si="4"/>
        <v>5.5999999999999973E-3</v>
      </c>
      <c r="AI42" s="907">
        <f t="shared" si="0"/>
        <v>0</v>
      </c>
    </row>
    <row r="43" spans="1:42" x14ac:dyDescent="0.25">
      <c r="A43" t="s">
        <v>1010</v>
      </c>
      <c r="B43" t="s">
        <v>95</v>
      </c>
      <c r="C43" t="s">
        <v>4364</v>
      </c>
      <c r="D43">
        <v>2024</v>
      </c>
      <c r="E43" t="s">
        <v>104</v>
      </c>
      <c r="F43" s="377">
        <f>'Background Data'!$BB$25</f>
        <v>14</v>
      </c>
      <c r="G43" s="52" t="s">
        <v>4361</v>
      </c>
      <c r="H43" s="377">
        <v>1</v>
      </c>
      <c r="I43" s="377">
        <v>1</v>
      </c>
      <c r="J43" s="377">
        <v>1</v>
      </c>
      <c r="K43" s="377">
        <v>3</v>
      </c>
      <c r="L43" s="377">
        <v>1</v>
      </c>
      <c r="M43" s="1044"/>
      <c r="O43" s="1044"/>
    </row>
    <row r="44" spans="1:42" ht="15.75" x14ac:dyDescent="0.25">
      <c r="A44" t="s">
        <v>1011</v>
      </c>
      <c r="B44" t="s">
        <v>95</v>
      </c>
      <c r="C44" t="s">
        <v>4364</v>
      </c>
      <c r="D44">
        <v>2024</v>
      </c>
      <c r="E44" t="s">
        <v>104</v>
      </c>
      <c r="F44" s="377">
        <f>'Background Data'!$BB$25</f>
        <v>14</v>
      </c>
      <c r="G44" s="52" t="s">
        <v>4361</v>
      </c>
      <c r="H44" s="377">
        <v>1</v>
      </c>
      <c r="I44" s="377">
        <v>1</v>
      </c>
      <c r="J44" s="377">
        <v>1</v>
      </c>
      <c r="K44" s="377">
        <v>3</v>
      </c>
      <c r="L44" s="377">
        <v>1</v>
      </c>
      <c r="M44" s="1044"/>
      <c r="O44" s="1044"/>
      <c r="AE44" s="159" t="s">
        <v>4378</v>
      </c>
      <c r="AL44" s="1008" t="s">
        <v>4379</v>
      </c>
      <c r="AM44" s="234"/>
      <c r="AN44" s="234"/>
      <c r="AO44" s="234"/>
      <c r="AP44" s="235"/>
    </row>
    <row r="45" spans="1:42" ht="15.75" thickBot="1" x14ac:dyDescent="0.3">
      <c r="A45" t="s">
        <v>1012</v>
      </c>
      <c r="B45" t="s">
        <v>95</v>
      </c>
      <c r="C45" t="s">
        <v>4364</v>
      </c>
      <c r="D45">
        <v>2024</v>
      </c>
      <c r="E45" t="s">
        <v>104</v>
      </c>
      <c r="F45" s="377">
        <f>'Background Data'!$BB$25</f>
        <v>14</v>
      </c>
      <c r="G45" s="52" t="s">
        <v>4361</v>
      </c>
      <c r="H45" s="377">
        <v>1</v>
      </c>
      <c r="I45" s="377">
        <v>1</v>
      </c>
      <c r="J45" s="377">
        <v>1</v>
      </c>
      <c r="K45" s="377">
        <v>3</v>
      </c>
      <c r="L45" s="377">
        <v>1</v>
      </c>
      <c r="M45" s="1044"/>
      <c r="O45" s="1044"/>
      <c r="AE45" s="88" t="s">
        <v>4353</v>
      </c>
      <c r="AF45" s="88" t="s">
        <v>17</v>
      </c>
      <c r="AG45" s="88" t="s">
        <v>1474</v>
      </c>
      <c r="AH45" s="88" t="s">
        <v>1481</v>
      </c>
      <c r="AI45" s="88" t="s">
        <v>41</v>
      </c>
      <c r="AL45" s="594" t="s">
        <v>4365</v>
      </c>
      <c r="AM45" s="88" t="s">
        <v>17</v>
      </c>
      <c r="AN45" s="88" t="s">
        <v>1474</v>
      </c>
      <c r="AO45" s="88" t="s">
        <v>1481</v>
      </c>
      <c r="AP45" s="110" t="s">
        <v>41</v>
      </c>
    </row>
    <row r="46" spans="1:42" ht="15.75" thickTop="1" x14ac:dyDescent="0.25">
      <c r="A46" t="s">
        <v>4420</v>
      </c>
      <c r="B46" t="s">
        <v>95</v>
      </c>
      <c r="C46" t="s">
        <v>4364</v>
      </c>
      <c r="D46">
        <v>2024</v>
      </c>
      <c r="E46" t="s">
        <v>104</v>
      </c>
      <c r="F46" s="377">
        <f>'Background Data'!$BB$25</f>
        <v>14</v>
      </c>
      <c r="G46" s="52" t="s">
        <v>4361</v>
      </c>
      <c r="H46" s="377">
        <v>1</v>
      </c>
      <c r="I46" s="377">
        <v>1</v>
      </c>
      <c r="J46" s="377">
        <v>1</v>
      </c>
      <c r="K46" s="377">
        <v>3</v>
      </c>
      <c r="L46" s="377">
        <v>1</v>
      </c>
      <c r="M46" s="1044"/>
      <c r="O46" s="1044"/>
      <c r="AE46">
        <v>0</v>
      </c>
      <c r="AF46" s="907">
        <v>0</v>
      </c>
      <c r="AG46" s="907">
        <v>0</v>
      </c>
      <c r="AH46" s="907">
        <v>0</v>
      </c>
      <c r="AI46" s="907">
        <v>0</v>
      </c>
      <c r="AL46" s="405" t="s">
        <v>4799</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25">
      <c r="A47" t="s">
        <v>1014</v>
      </c>
      <c r="B47" t="s">
        <v>95</v>
      </c>
      <c r="C47" t="s">
        <v>4364</v>
      </c>
      <c r="D47">
        <v>2024</v>
      </c>
      <c r="E47" t="s">
        <v>104</v>
      </c>
      <c r="F47" s="377">
        <f>'Background Data'!$BB$26</f>
        <v>16</v>
      </c>
      <c r="G47" s="52" t="s">
        <v>4362</v>
      </c>
      <c r="H47" s="377">
        <v>1</v>
      </c>
      <c r="I47" s="377">
        <v>1</v>
      </c>
      <c r="J47" s="377">
        <v>1</v>
      </c>
      <c r="K47" s="377">
        <v>3</v>
      </c>
      <c r="L47" s="377">
        <v>1</v>
      </c>
      <c r="M47" s="1044"/>
      <c r="O47" s="1044"/>
      <c r="AE47">
        <v>1</v>
      </c>
      <c r="AF47" s="907">
        <v>6.5676097538820422E-3</v>
      </c>
      <c r="AG47" s="907">
        <v>6.9477278293709199E-3</v>
      </c>
      <c r="AH47" s="907">
        <v>7.0663370000000336E-3</v>
      </c>
      <c r="AI47" s="907">
        <v>0</v>
      </c>
      <c r="AL47" s="405" t="s">
        <v>4800</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25">
      <c r="A48" t="s">
        <v>1015</v>
      </c>
      <c r="B48" t="s">
        <v>95</v>
      </c>
      <c r="C48" t="s">
        <v>4364</v>
      </c>
      <c r="D48">
        <v>2024</v>
      </c>
      <c r="E48" t="s">
        <v>104</v>
      </c>
      <c r="F48" s="377">
        <f>'Background Data'!$BB$26</f>
        <v>16</v>
      </c>
      <c r="G48" s="52" t="s">
        <v>4362</v>
      </c>
      <c r="H48" s="377">
        <v>1</v>
      </c>
      <c r="I48" s="377">
        <v>1</v>
      </c>
      <c r="J48" s="377">
        <v>1</v>
      </c>
      <c r="K48" s="377">
        <v>3</v>
      </c>
      <c r="L48" s="377">
        <v>1</v>
      </c>
      <c r="M48" s="1044"/>
      <c r="O48" s="1044"/>
      <c r="AE48">
        <v>2</v>
      </c>
      <c r="AF48" s="907">
        <v>8.3698176755049314E-3</v>
      </c>
      <c r="AG48" s="907">
        <v>8.3640266465814239E-3</v>
      </c>
      <c r="AH48" s="907">
        <v>6.3008959999999448E-3</v>
      </c>
      <c r="AI48" s="907">
        <v>0</v>
      </c>
      <c r="AL48" s="405" t="s">
        <v>4801</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25">
      <c r="A49" t="s">
        <v>1016</v>
      </c>
      <c r="B49" t="s">
        <v>95</v>
      </c>
      <c r="C49" t="s">
        <v>4364</v>
      </c>
      <c r="D49">
        <v>2024</v>
      </c>
      <c r="E49" t="s">
        <v>104</v>
      </c>
      <c r="F49" s="377">
        <f>'Background Data'!$BB$26</f>
        <v>16</v>
      </c>
      <c r="G49" s="52" t="s">
        <v>4362</v>
      </c>
      <c r="H49" s="377">
        <v>1</v>
      </c>
      <c r="I49" s="377">
        <v>1</v>
      </c>
      <c r="J49" s="377">
        <v>1</v>
      </c>
      <c r="K49" s="377">
        <v>3</v>
      </c>
      <c r="L49" s="377">
        <v>1</v>
      </c>
      <c r="M49" s="1044"/>
      <c r="O49" s="1044"/>
      <c r="AE49">
        <v>3</v>
      </c>
      <c r="AF49" s="907">
        <v>1.1170272022762773E-2</v>
      </c>
      <c r="AG49" s="907">
        <v>1.0501639201483837E-2</v>
      </c>
      <c r="AH49" s="907">
        <v>6.0017599999999671E-3</v>
      </c>
      <c r="AI49" s="907">
        <v>9.3829104377274319E-5</v>
      </c>
      <c r="AL49" s="405" t="s">
        <v>4805</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25">
      <c r="A50" t="s">
        <v>1017</v>
      </c>
      <c r="B50" t="s">
        <v>95</v>
      </c>
      <c r="C50" t="s">
        <v>4364</v>
      </c>
      <c r="D50">
        <v>2024</v>
      </c>
      <c r="E50" t="s">
        <v>104</v>
      </c>
      <c r="F50" s="377">
        <f>'Background Data'!$BB$26</f>
        <v>16</v>
      </c>
      <c r="G50" s="52" t="s">
        <v>4362</v>
      </c>
      <c r="H50" s="377">
        <v>1</v>
      </c>
      <c r="I50" s="377">
        <v>1</v>
      </c>
      <c r="J50" s="377">
        <v>1</v>
      </c>
      <c r="K50" s="377">
        <v>3</v>
      </c>
      <c r="L50" s="377">
        <v>1</v>
      </c>
      <c r="M50" s="1044"/>
      <c r="O50" s="1044"/>
      <c r="AE50">
        <v>4</v>
      </c>
      <c r="AF50" s="907">
        <v>1.4699911244975827E-2</v>
      </c>
      <c r="AG50" s="907">
        <v>1.3071786834050747E-2</v>
      </c>
      <c r="AH50" s="907">
        <v>7.1164840000000895E-3</v>
      </c>
      <c r="AI50" s="907">
        <v>5.4376360209211771E-3</v>
      </c>
      <c r="AL50" s="405" t="s">
        <v>4802</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25">
      <c r="A51" t="s">
        <v>4391</v>
      </c>
      <c r="B51" t="s">
        <v>95</v>
      </c>
      <c r="C51" t="s">
        <v>4364</v>
      </c>
      <c r="D51">
        <v>2024</v>
      </c>
      <c r="E51" t="s">
        <v>104</v>
      </c>
      <c r="F51" s="377">
        <f>'Background Data'!$BB$26</f>
        <v>16</v>
      </c>
      <c r="G51" s="52" t="s">
        <v>4362</v>
      </c>
      <c r="H51" s="377">
        <v>1</v>
      </c>
      <c r="I51" s="377">
        <v>1</v>
      </c>
      <c r="J51" s="377">
        <v>1</v>
      </c>
      <c r="K51" s="377">
        <v>3</v>
      </c>
      <c r="L51" s="377">
        <v>1</v>
      </c>
      <c r="AE51">
        <v>5</v>
      </c>
      <c r="AF51" s="907">
        <v>1.8484443801563333E-2</v>
      </c>
      <c r="AG51" s="907">
        <v>1.6012943572506377E-2</v>
      </c>
      <c r="AH51" s="907">
        <v>8.1812289999999566E-3</v>
      </c>
      <c r="AI51" s="907">
        <v>1.0310001858311768E-2</v>
      </c>
      <c r="AL51" s="405" t="s">
        <v>4803</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25">
      <c r="A52" t="s">
        <v>1019</v>
      </c>
      <c r="B52" t="s">
        <v>95</v>
      </c>
      <c r="C52" t="s">
        <v>4364</v>
      </c>
      <c r="D52">
        <v>2024</v>
      </c>
      <c r="E52" t="s">
        <v>104</v>
      </c>
      <c r="F52" s="377">
        <f>'Background Data'!$BB$26</f>
        <v>16</v>
      </c>
      <c r="G52" s="52" t="s">
        <v>4362</v>
      </c>
      <c r="H52" s="377">
        <v>1</v>
      </c>
      <c r="I52" s="377">
        <v>1</v>
      </c>
      <c r="J52" s="377">
        <v>1</v>
      </c>
      <c r="K52" s="377">
        <v>3</v>
      </c>
      <c r="L52" s="377">
        <v>1</v>
      </c>
      <c r="AE52">
        <v>6</v>
      </c>
      <c r="AF52" s="907">
        <v>2.3819146773279565E-2</v>
      </c>
      <c r="AG52" s="907">
        <v>1.9838224194210552E-2</v>
      </c>
      <c r="AH52" s="907">
        <v>1.2187492000000022E-2</v>
      </c>
      <c r="AI52" s="907">
        <v>1.4732252677482238E-2</v>
      </c>
      <c r="AL52" s="595" t="s">
        <v>4804</v>
      </c>
      <c r="AM52" s="1007">
        <f>SUMPRODUCT($AE69:$AE85,AF69:AF85)/SUM(AF69:AF85)</f>
        <v>28.932690077933071</v>
      </c>
      <c r="AN52" s="1007">
        <f>SUMPRODUCT($AE74:$AE85,AG74:AG85)/SUM(AG74:AG85)</f>
        <v>32.365046986975237</v>
      </c>
      <c r="AO52" s="1007">
        <f>SUMPRODUCT($AE74:$AE85,AH74:AH85)/SUM(AH74:AH85)</f>
        <v>32.555779437908207</v>
      </c>
      <c r="AP52" s="1009">
        <f>SUMPRODUCT($AE76:$AE85,AI76:AI85)/SUM(AI76:AI85)</f>
        <v>32.013238106198855</v>
      </c>
    </row>
    <row r="53" spans="1:42" x14ac:dyDescent="0.25">
      <c r="A53" t="s">
        <v>4396</v>
      </c>
      <c r="B53" t="s">
        <v>95</v>
      </c>
      <c r="C53" t="s">
        <v>4364</v>
      </c>
      <c r="D53">
        <v>2024</v>
      </c>
      <c r="E53" t="s">
        <v>104</v>
      </c>
      <c r="F53" s="377">
        <f>'Background Data'!$BB$26</f>
        <v>16</v>
      </c>
      <c r="G53" s="52" t="s">
        <v>4362</v>
      </c>
      <c r="H53" s="377">
        <v>1</v>
      </c>
      <c r="I53" s="377">
        <v>1</v>
      </c>
      <c r="J53" s="377">
        <v>1</v>
      </c>
      <c r="K53" s="377">
        <v>3</v>
      </c>
      <c r="L53" s="377">
        <v>1</v>
      </c>
      <c r="AE53">
        <v>7</v>
      </c>
      <c r="AF53" s="907">
        <v>2.9892786497910162E-2</v>
      </c>
      <c r="AG53" s="907">
        <v>2.4151252586176897E-2</v>
      </c>
      <c r="AH53" s="907">
        <v>1.4668983999999941E-2</v>
      </c>
      <c r="AI53" s="907">
        <v>1.8725714539366001E-2</v>
      </c>
      <c r="AL53" s="595" t="s">
        <v>4806</v>
      </c>
      <c r="AM53" s="1007">
        <f>AM46*0.12+AM47*0.12+AM48*0.12+AM49*0.28+AM50*0.12+AM51*0.12+AM52*0.12</f>
        <v>15.115482125668592</v>
      </c>
      <c r="AN53" s="1007">
        <f t="shared" ref="AN53:AP53" si="6">AN46*0.12+AN47*0.12+AN48*0.12+AN49*0.28+AN50*0.12+AN51*0.12+AN52*0.12</f>
        <v>16.989743608832391</v>
      </c>
      <c r="AO53" s="1007">
        <f t="shared" si="6"/>
        <v>18.355924103907562</v>
      </c>
      <c r="AP53" s="1009">
        <f t="shared" si="6"/>
        <v>19.99909110428332</v>
      </c>
    </row>
    <row r="54" spans="1:42" ht="15.75" thickBot="1" x14ac:dyDescent="0.3">
      <c r="A54" t="s">
        <v>1020</v>
      </c>
      <c r="B54" t="s">
        <v>95</v>
      </c>
      <c r="C54" t="s">
        <v>4364</v>
      </c>
      <c r="D54">
        <v>2024</v>
      </c>
      <c r="E54" t="s">
        <v>104</v>
      </c>
      <c r="F54" s="377">
        <f>'Background Data'!$BB$26</f>
        <v>16</v>
      </c>
      <c r="G54" s="52" t="s">
        <v>4362</v>
      </c>
      <c r="H54" s="377">
        <v>1</v>
      </c>
      <c r="I54" s="377">
        <v>1</v>
      </c>
      <c r="J54" s="377">
        <v>1</v>
      </c>
      <c r="K54" s="377">
        <v>3</v>
      </c>
      <c r="L54" s="377">
        <v>1</v>
      </c>
      <c r="AE54">
        <v>8</v>
      </c>
      <c r="AF54" s="390">
        <v>3.6499623603684417E-2</v>
      </c>
      <c r="AG54" s="907">
        <v>2.8949626566297626E-2</v>
      </c>
      <c r="AH54" s="907">
        <v>2.0508782000000059E-2</v>
      </c>
      <c r="AI54" s="907">
        <v>2.2311713504896358E-2</v>
      </c>
    </row>
    <row r="55" spans="1:42" ht="15.75" x14ac:dyDescent="0.25">
      <c r="A55" t="s">
        <v>1021</v>
      </c>
      <c r="B55" t="s">
        <v>95</v>
      </c>
      <c r="C55" t="s">
        <v>4364</v>
      </c>
      <c r="D55">
        <v>2024</v>
      </c>
      <c r="E55" t="s">
        <v>104</v>
      </c>
      <c r="F55" s="377">
        <f>'Background Data'!$BB$26</f>
        <v>16</v>
      </c>
      <c r="G55" s="52" t="s">
        <v>4362</v>
      </c>
      <c r="H55" s="377">
        <v>1</v>
      </c>
      <c r="I55" s="377">
        <v>1</v>
      </c>
      <c r="J55" s="377">
        <v>1</v>
      </c>
      <c r="K55" s="377">
        <v>3</v>
      </c>
      <c r="L55" s="377">
        <v>1</v>
      </c>
      <c r="AE55">
        <v>9</v>
      </c>
      <c r="AF55" s="390">
        <v>4.3748088752408876E-2</v>
      </c>
      <c r="AG55" s="390">
        <v>3.434074505447493E-2</v>
      </c>
      <c r="AH55" s="907">
        <v>2.4306344999999951E-2</v>
      </c>
      <c r="AI55" s="907">
        <v>2.55115756350065E-2</v>
      </c>
      <c r="AL55" s="909" t="s">
        <v>4807</v>
      </c>
      <c r="AM55" s="70"/>
      <c r="AN55" s="70"/>
      <c r="AO55" s="70"/>
      <c r="AP55" s="295"/>
    </row>
    <row r="56" spans="1:42" ht="15.75" thickBot="1" x14ac:dyDescent="0.3">
      <c r="A56" t="s">
        <v>1022</v>
      </c>
      <c r="B56" t="s">
        <v>95</v>
      </c>
      <c r="C56" t="s">
        <v>4364</v>
      </c>
      <c r="D56">
        <v>2024</v>
      </c>
      <c r="E56" t="s">
        <v>104</v>
      </c>
      <c r="F56" s="377">
        <f>'Background Data'!$BB$26</f>
        <v>16</v>
      </c>
      <c r="G56" s="52" t="s">
        <v>4362</v>
      </c>
      <c r="H56" s="377">
        <v>1</v>
      </c>
      <c r="I56" s="377">
        <v>1</v>
      </c>
      <c r="J56" s="377">
        <v>1</v>
      </c>
      <c r="K56" s="377">
        <v>3</v>
      </c>
      <c r="L56" s="377">
        <v>1</v>
      </c>
      <c r="AE56">
        <v>10</v>
      </c>
      <c r="AF56" s="390">
        <v>5.1472256463245047E-2</v>
      </c>
      <c r="AG56" s="390">
        <v>3.9952950504512641E-2</v>
      </c>
      <c r="AH56" s="390">
        <v>3.3742757000000068E-2</v>
      </c>
      <c r="AI56" s="907">
        <v>2.8346626990629953E-2</v>
      </c>
      <c r="AL56" s="232" t="s">
        <v>4365</v>
      </c>
      <c r="AM56" s="88" t="s">
        <v>17</v>
      </c>
      <c r="AN56" s="88" t="s">
        <v>1474</v>
      </c>
      <c r="AO56" s="88" t="s">
        <v>1481</v>
      </c>
      <c r="AP56" s="378" t="s">
        <v>41</v>
      </c>
    </row>
    <row r="57" spans="1:42" ht="15.75" thickTop="1" x14ac:dyDescent="0.25">
      <c r="A57" t="s">
        <v>4421</v>
      </c>
      <c r="B57" t="s">
        <v>95</v>
      </c>
      <c r="C57" t="s">
        <v>4364</v>
      </c>
      <c r="D57">
        <v>2024</v>
      </c>
      <c r="E57" t="s">
        <v>104</v>
      </c>
      <c r="F57" s="377">
        <f>'Background Data'!$BB$26</f>
        <v>16</v>
      </c>
      <c r="G57" s="52" t="s">
        <v>4362</v>
      </c>
      <c r="H57" s="377">
        <v>1</v>
      </c>
      <c r="I57" s="377">
        <v>1</v>
      </c>
      <c r="J57" s="377">
        <v>1</v>
      </c>
      <c r="K57" s="377">
        <v>3</v>
      </c>
      <c r="L57" s="377">
        <v>1</v>
      </c>
      <c r="AE57">
        <v>11</v>
      </c>
      <c r="AF57" s="907">
        <v>5.9552371913176638E-2</v>
      </c>
      <c r="AG57" s="390">
        <v>4.6091098648304407E-2</v>
      </c>
      <c r="AH57" s="390">
        <v>3.4719186000000013E-2</v>
      </c>
      <c r="AI57" s="390">
        <v>3.0838193632699906E-2</v>
      </c>
      <c r="AL57" s="379" t="s">
        <v>4799</v>
      </c>
      <c r="AM57" s="73">
        <f t="shared" ref="AM57:AM63" si="7">FLOOR(AM46, 1)</f>
        <v>4</v>
      </c>
      <c r="AN57" s="73">
        <f t="shared" ref="AN57:AP57" si="8">FLOOR(AN46, 1)</f>
        <v>5</v>
      </c>
      <c r="AO57" s="73">
        <f>ROUND(AO46, 0)</f>
        <v>6</v>
      </c>
      <c r="AP57" s="380">
        <f t="shared" si="8"/>
        <v>7</v>
      </c>
    </row>
    <row r="58" spans="1:42" x14ac:dyDescent="0.25">
      <c r="A58" t="s">
        <v>1033</v>
      </c>
      <c r="B58" t="s">
        <v>95</v>
      </c>
      <c r="C58" t="s">
        <v>4364</v>
      </c>
      <c r="D58">
        <v>2024</v>
      </c>
      <c r="E58" t="s">
        <v>104</v>
      </c>
      <c r="F58" s="377">
        <f>'Background Data'!$BB$26</f>
        <v>16</v>
      </c>
      <c r="G58" s="52" t="s">
        <v>4362</v>
      </c>
      <c r="H58" s="377">
        <v>1</v>
      </c>
      <c r="I58" s="377">
        <v>1</v>
      </c>
      <c r="J58" s="377">
        <v>1</v>
      </c>
      <c r="K58" s="377">
        <v>3</v>
      </c>
      <c r="L58" s="377">
        <v>1</v>
      </c>
      <c r="AE58">
        <v>12</v>
      </c>
      <c r="AF58" s="907">
        <v>6.5969998573192523E-2</v>
      </c>
      <c r="AG58" s="907">
        <v>5.1506594313424414E-2</v>
      </c>
      <c r="AH58" s="390">
        <v>4.0008475999999904E-2</v>
      </c>
      <c r="AI58" s="390">
        <v>3.3007601622149774E-2</v>
      </c>
      <c r="AL58" s="379" t="s">
        <v>4800</v>
      </c>
      <c r="AM58" s="73">
        <f t="shared" si="7"/>
        <v>9</v>
      </c>
      <c r="AN58" s="73">
        <f t="shared" ref="AN58:AP58" si="9">FLOOR(AN47, 1)</f>
        <v>10</v>
      </c>
      <c r="AO58" s="73">
        <f t="shared" si="9"/>
        <v>11</v>
      </c>
      <c r="AP58" s="380">
        <f t="shared" si="9"/>
        <v>12</v>
      </c>
    </row>
    <row r="59" spans="1:42" x14ac:dyDescent="0.25">
      <c r="A59" t="s">
        <v>1034</v>
      </c>
      <c r="B59" t="s">
        <v>95</v>
      </c>
      <c r="C59" t="s">
        <v>4364</v>
      </c>
      <c r="D59">
        <v>2024</v>
      </c>
      <c r="E59" t="s">
        <v>104</v>
      </c>
      <c r="F59" s="377">
        <f>'Background Data'!$BB$26</f>
        <v>16</v>
      </c>
      <c r="G59" s="52" t="s">
        <v>4362</v>
      </c>
      <c r="H59" s="377">
        <v>1</v>
      </c>
      <c r="I59" s="377">
        <v>1</v>
      </c>
      <c r="J59" s="377">
        <v>1</v>
      </c>
      <c r="K59" s="377">
        <v>3</v>
      </c>
      <c r="L59" s="377">
        <v>1</v>
      </c>
      <c r="AE59">
        <v>13</v>
      </c>
      <c r="AF59" s="390">
        <v>6.9492577058641425E-2</v>
      </c>
      <c r="AG59" s="907">
        <v>5.5563135660222196E-2</v>
      </c>
      <c r="AH59" s="907">
        <v>4.2980495000000007E-2</v>
      </c>
      <c r="AI59" s="390">
        <v>3.4876177019912746E-2</v>
      </c>
      <c r="AL59" s="379" t="s">
        <v>4801</v>
      </c>
      <c r="AM59" s="73">
        <f t="shared" si="7"/>
        <v>11</v>
      </c>
      <c r="AN59" s="73">
        <f t="shared" ref="AN59:AP59" si="10">FLOOR(AN48, 1)</f>
        <v>12</v>
      </c>
      <c r="AO59" s="73">
        <f t="shared" si="10"/>
        <v>13</v>
      </c>
      <c r="AP59" s="380">
        <f t="shared" si="10"/>
        <v>15</v>
      </c>
    </row>
    <row r="60" spans="1:42" x14ac:dyDescent="0.25">
      <c r="A60" t="s">
        <v>1035</v>
      </c>
      <c r="B60" t="s">
        <v>95</v>
      </c>
      <c r="C60" t="s">
        <v>4364</v>
      </c>
      <c r="D60">
        <v>2024</v>
      </c>
      <c r="E60" t="s">
        <v>104</v>
      </c>
      <c r="F60" s="377">
        <f>'Background Data'!$BB$26</f>
        <v>16</v>
      </c>
      <c r="G60" s="52" t="s">
        <v>4362</v>
      </c>
      <c r="H60" s="377">
        <v>1</v>
      </c>
      <c r="I60" s="377">
        <v>1</v>
      </c>
      <c r="J60" s="377">
        <v>1</v>
      </c>
      <c r="K60" s="377">
        <v>3</v>
      </c>
      <c r="L60" s="377">
        <v>1</v>
      </c>
      <c r="AE60">
        <v>14</v>
      </c>
      <c r="AF60" s="390">
        <v>7.0787553566011963E-2</v>
      </c>
      <c r="AG60" s="390">
        <v>5.868565983300833E-2</v>
      </c>
      <c r="AH60" s="907">
        <v>4.7265193000000094E-2</v>
      </c>
      <c r="AI60" s="907">
        <v>3.6465245886922237E-2</v>
      </c>
      <c r="AL60" s="379" t="s">
        <v>4805</v>
      </c>
      <c r="AM60" s="73">
        <f t="shared" si="7"/>
        <v>14</v>
      </c>
      <c r="AN60" s="73">
        <f t="shared" ref="AN60:AP60" si="11">FLOOR(AN49, 1)</f>
        <v>15</v>
      </c>
      <c r="AO60" s="73">
        <f t="shared" si="11"/>
        <v>17</v>
      </c>
      <c r="AP60" s="380">
        <f t="shared" si="11"/>
        <v>20</v>
      </c>
    </row>
    <row r="61" spans="1:42" x14ac:dyDescent="0.25">
      <c r="A61" t="s">
        <v>1036</v>
      </c>
      <c r="B61" t="s">
        <v>95</v>
      </c>
      <c r="C61" t="s">
        <v>4364</v>
      </c>
      <c r="D61">
        <v>2024</v>
      </c>
      <c r="E61" t="s">
        <v>104</v>
      </c>
      <c r="F61" s="377">
        <f>'Background Data'!$BB$26</f>
        <v>16</v>
      </c>
      <c r="G61" s="52" t="s">
        <v>4362</v>
      </c>
      <c r="H61" s="377">
        <v>1</v>
      </c>
      <c r="I61" s="377">
        <v>1</v>
      </c>
      <c r="J61" s="377">
        <v>1</v>
      </c>
      <c r="K61" s="377">
        <v>3</v>
      </c>
      <c r="L61" s="377">
        <v>1</v>
      </c>
      <c r="AE61">
        <v>15</v>
      </c>
      <c r="AF61" s="390">
        <v>6.8436074445778705E-2</v>
      </c>
      <c r="AG61" s="390">
        <v>5.9479262832586755E-2</v>
      </c>
      <c r="AH61" s="907">
        <v>3.6264391999999979E-2</v>
      </c>
      <c r="AI61" s="907">
        <v>3.7796134284111549E-2</v>
      </c>
      <c r="AL61" s="379" t="s">
        <v>4802</v>
      </c>
      <c r="AM61" s="73">
        <f t="shared" si="7"/>
        <v>17</v>
      </c>
      <c r="AN61" s="73">
        <f t="shared" ref="AN61:AP61" si="12">FLOOR(AN50, 1)</f>
        <v>19</v>
      </c>
      <c r="AO61" s="73">
        <f t="shared" si="12"/>
        <v>21</v>
      </c>
      <c r="AP61" s="380">
        <f t="shared" si="12"/>
        <v>24</v>
      </c>
    </row>
    <row r="62" spans="1:42" x14ac:dyDescent="0.25">
      <c r="A62" t="s">
        <v>4392</v>
      </c>
      <c r="B62" t="s">
        <v>95</v>
      </c>
      <c r="C62" t="s">
        <v>4364</v>
      </c>
      <c r="D62">
        <v>2024</v>
      </c>
      <c r="E62" t="s">
        <v>104</v>
      </c>
      <c r="F62" s="377">
        <f>'Background Data'!$BB$26</f>
        <v>16</v>
      </c>
      <c r="G62" s="52" t="s">
        <v>4362</v>
      </c>
      <c r="H62" s="377">
        <v>1</v>
      </c>
      <c r="I62" s="377">
        <v>1</v>
      </c>
      <c r="J62" s="377">
        <v>1</v>
      </c>
      <c r="K62" s="377">
        <v>3</v>
      </c>
      <c r="L62" s="377">
        <v>1</v>
      </c>
      <c r="AE62">
        <v>16</v>
      </c>
      <c r="AF62" s="390">
        <v>6.2719335905052631E-2</v>
      </c>
      <c r="AG62" s="390">
        <v>5.7761033851759847E-2</v>
      </c>
      <c r="AH62" s="390">
        <v>5.2590132999999928E-2</v>
      </c>
      <c r="AI62" s="907">
        <v>3.8890168272414094E-2</v>
      </c>
      <c r="AL62" s="379" t="s">
        <v>4803</v>
      </c>
      <c r="AM62" s="73">
        <f t="shared" si="7"/>
        <v>20</v>
      </c>
      <c r="AN62" s="73">
        <f t="shared" ref="AN62:AP62" si="13">FLOOR(AN51, 1)</f>
        <v>24</v>
      </c>
      <c r="AO62" s="73">
        <f t="shared" si="13"/>
        <v>25</v>
      </c>
      <c r="AP62" s="380">
        <f t="shared" si="13"/>
        <v>27</v>
      </c>
    </row>
    <row r="63" spans="1:42" x14ac:dyDescent="0.25">
      <c r="A63" t="s">
        <v>1037</v>
      </c>
      <c r="B63" t="s">
        <v>95</v>
      </c>
      <c r="C63" t="s">
        <v>4364</v>
      </c>
      <c r="D63">
        <v>2024</v>
      </c>
      <c r="E63" t="s">
        <v>104</v>
      </c>
      <c r="F63" s="377">
        <f>'Background Data'!$BB$26</f>
        <v>16</v>
      </c>
      <c r="G63" s="52" t="s">
        <v>4362</v>
      </c>
      <c r="H63" s="377">
        <v>1</v>
      </c>
      <c r="I63" s="377">
        <v>1</v>
      </c>
      <c r="J63" s="377">
        <v>1</v>
      </c>
      <c r="K63" s="377">
        <v>3</v>
      </c>
      <c r="L63" s="377">
        <v>1</v>
      </c>
      <c r="AE63">
        <v>17</v>
      </c>
      <c r="AF63" s="907">
        <v>5.5118263923052024E-2</v>
      </c>
      <c r="AG63" s="390">
        <v>5.4300151137124164E-2</v>
      </c>
      <c r="AH63" s="390">
        <v>5.3805407000000027E-2</v>
      </c>
      <c r="AI63" s="390">
        <v>3.9768673912762953E-2</v>
      </c>
      <c r="AL63" s="379" t="s">
        <v>4804</v>
      </c>
      <c r="AM63" s="73">
        <f t="shared" si="7"/>
        <v>28</v>
      </c>
      <c r="AN63" s="73">
        <f t="shared" ref="AN63:AP63" si="14">FLOOR(AN52, 1)</f>
        <v>32</v>
      </c>
      <c r="AO63" s="73">
        <f t="shared" si="14"/>
        <v>32</v>
      </c>
      <c r="AP63" s="380">
        <f t="shared" si="14"/>
        <v>32</v>
      </c>
    </row>
    <row r="64" spans="1:42" ht="15.75" thickBot="1" x14ac:dyDescent="0.3">
      <c r="A64" t="s">
        <v>4397</v>
      </c>
      <c r="B64" t="s">
        <v>95</v>
      </c>
      <c r="C64" t="s">
        <v>4364</v>
      </c>
      <c r="D64">
        <v>2024</v>
      </c>
      <c r="E64" t="s">
        <v>104</v>
      </c>
      <c r="F64" s="377">
        <f>'Background Data'!$BB$26</f>
        <v>16</v>
      </c>
      <c r="G64" s="52" t="s">
        <v>4362</v>
      </c>
      <c r="H64" s="377">
        <v>1</v>
      </c>
      <c r="I64" s="377">
        <v>1</v>
      </c>
      <c r="J64" s="377">
        <v>1</v>
      </c>
      <c r="K64" s="377">
        <v>3</v>
      </c>
      <c r="L64" s="377">
        <v>1</v>
      </c>
      <c r="AE64">
        <v>18</v>
      </c>
      <c r="AF64" s="907">
        <v>4.7003306027178338E-2</v>
      </c>
      <c r="AG64" s="390">
        <v>4.9699727768544422E-2</v>
      </c>
      <c r="AH64" s="390">
        <v>5.7322736000000041E-2</v>
      </c>
      <c r="AI64" s="390">
        <v>4.045297726609165E-2</v>
      </c>
      <c r="AL64" s="1010" t="s">
        <v>4806</v>
      </c>
      <c r="AM64" s="1011">
        <f>AM57*0.12+AM58*0.12+AM59*0.12+AM60*0.28+AM61*0.12+AM62*0.12+AM63*0.12</f>
        <v>14.6</v>
      </c>
      <c r="AN64" s="1011">
        <f t="shared" ref="AN64:AP64" si="15">AN57*0.12+AN58*0.12+AN59*0.12+AN60*0.28+AN61*0.12+AN62*0.12+AN63*0.12</f>
        <v>16.439999999999998</v>
      </c>
      <c r="AO64" s="1011">
        <f t="shared" si="15"/>
        <v>17.72</v>
      </c>
      <c r="AP64" s="1012">
        <f t="shared" si="15"/>
        <v>19.64</v>
      </c>
    </row>
    <row r="65" spans="1:35" x14ac:dyDescent="0.25">
      <c r="A65" t="s">
        <v>1038</v>
      </c>
      <c r="B65" t="s">
        <v>95</v>
      </c>
      <c r="C65" t="s">
        <v>4364</v>
      </c>
      <c r="D65">
        <v>2024</v>
      </c>
      <c r="E65" t="s">
        <v>104</v>
      </c>
      <c r="F65" s="377">
        <f>'Background Data'!$BB$26</f>
        <v>16</v>
      </c>
      <c r="G65" s="52" t="s">
        <v>4362</v>
      </c>
      <c r="H65" s="377">
        <v>1</v>
      </c>
      <c r="I65" s="377">
        <v>1</v>
      </c>
      <c r="J65" s="377">
        <v>1</v>
      </c>
      <c r="K65" s="377">
        <v>3</v>
      </c>
      <c r="L65" s="377">
        <v>1</v>
      </c>
      <c r="AE65">
        <v>19</v>
      </c>
      <c r="AF65" s="390">
        <v>3.9277357653924122E-2</v>
      </c>
      <c r="AG65" s="907">
        <v>4.4394880951139637E-2</v>
      </c>
      <c r="AH65" s="390">
        <v>5.2845677999999952E-2</v>
      </c>
      <c r="AI65" s="390">
        <v>4.0964404393333487E-2</v>
      </c>
    </row>
    <row r="66" spans="1:35" x14ac:dyDescent="0.25">
      <c r="A66" t="s">
        <v>1039</v>
      </c>
      <c r="B66" t="s">
        <v>95</v>
      </c>
      <c r="C66" t="s">
        <v>4364</v>
      </c>
      <c r="D66">
        <v>2024</v>
      </c>
      <c r="E66" t="s">
        <v>104</v>
      </c>
      <c r="F66" s="377">
        <f>'Background Data'!$BB$26</f>
        <v>16</v>
      </c>
      <c r="G66" s="52" t="s">
        <v>4362</v>
      </c>
      <c r="H66" s="377">
        <v>1</v>
      </c>
      <c r="I66" s="377">
        <v>1</v>
      </c>
      <c r="J66" s="377">
        <v>1</v>
      </c>
      <c r="K66" s="377">
        <v>3</v>
      </c>
      <c r="L66" s="377">
        <v>1</v>
      </c>
      <c r="AE66">
        <v>20</v>
      </c>
      <c r="AF66" s="390">
        <v>3.1904195773890143E-2</v>
      </c>
      <c r="AG66" s="907">
        <v>3.8669782810489384E-2</v>
      </c>
      <c r="AH66" s="390">
        <v>4.7400672000000033E-2</v>
      </c>
      <c r="AI66" s="390">
        <v>4.1324281355421655E-2</v>
      </c>
    </row>
    <row r="67" spans="1:35" x14ac:dyDescent="0.25">
      <c r="A67" t="s">
        <v>1040</v>
      </c>
      <c r="B67" t="s">
        <v>95</v>
      </c>
      <c r="C67" t="s">
        <v>4364</v>
      </c>
      <c r="D67">
        <v>2024</v>
      </c>
      <c r="E67" t="s">
        <v>104</v>
      </c>
      <c r="F67" s="377">
        <f>'Background Data'!$BB$26</f>
        <v>16</v>
      </c>
      <c r="G67" s="52" t="s">
        <v>4362</v>
      </c>
      <c r="H67" s="377">
        <v>1</v>
      </c>
      <c r="I67" s="377">
        <v>1</v>
      </c>
      <c r="J67" s="377">
        <v>1</v>
      </c>
      <c r="K67" s="377">
        <v>3</v>
      </c>
      <c r="L67" s="377">
        <v>1</v>
      </c>
      <c r="AE67">
        <v>21</v>
      </c>
      <c r="AF67" s="390">
        <v>2.5771435340285254E-2</v>
      </c>
      <c r="AG67" s="907">
        <v>3.3317387589808539E-2</v>
      </c>
      <c r="AH67" s="907">
        <v>4.8350632000000004E-2</v>
      </c>
      <c r="AI67" s="390">
        <v>4.1553934213289678E-2</v>
      </c>
    </row>
    <row r="68" spans="1:35" x14ac:dyDescent="0.25">
      <c r="A68" t="s">
        <v>4422</v>
      </c>
      <c r="B68" t="s">
        <v>95</v>
      </c>
      <c r="C68" t="s">
        <v>4364</v>
      </c>
      <c r="D68">
        <v>2024</v>
      </c>
      <c r="E68" t="s">
        <v>104</v>
      </c>
      <c r="F68" s="377">
        <f>'Background Data'!$BB$26</f>
        <v>16</v>
      </c>
      <c r="G68" s="52" t="s">
        <v>4362</v>
      </c>
      <c r="H68" s="377">
        <v>1</v>
      </c>
      <c r="I68" s="377">
        <v>1</v>
      </c>
      <c r="J68" s="377">
        <v>1</v>
      </c>
      <c r="K68" s="377">
        <v>3</v>
      </c>
      <c r="L68" s="377">
        <v>1</v>
      </c>
      <c r="AE68">
        <v>22</v>
      </c>
      <c r="AF68" s="390">
        <v>2.0686419175272835E-2</v>
      </c>
      <c r="AG68" s="390">
        <v>2.8383565543174644E-2</v>
      </c>
      <c r="AH68" s="907">
        <v>4.3415203000000013E-2</v>
      </c>
      <c r="AI68" s="390">
        <v>4.1674689027870637E-2</v>
      </c>
    </row>
    <row r="69" spans="1:35" x14ac:dyDescent="0.25">
      <c r="A69" t="s">
        <v>1024</v>
      </c>
      <c r="B69" t="s">
        <v>95</v>
      </c>
      <c r="C69" t="s">
        <v>4364</v>
      </c>
      <c r="D69">
        <v>2024</v>
      </c>
      <c r="E69" t="s">
        <v>104</v>
      </c>
      <c r="F69" s="377">
        <f>'Background Data'!$BB$27</f>
        <v>18</v>
      </c>
      <c r="G69" s="52" t="s">
        <v>4363</v>
      </c>
      <c r="H69" s="377">
        <v>1</v>
      </c>
      <c r="I69" s="377">
        <v>1</v>
      </c>
      <c r="J69" s="377">
        <v>1</v>
      </c>
      <c r="K69" s="377">
        <v>3</v>
      </c>
      <c r="L69" s="377">
        <v>1</v>
      </c>
      <c r="AE69">
        <v>23</v>
      </c>
      <c r="AF69" s="907">
        <v>1.6599382602990001E-2</v>
      </c>
      <c r="AG69" s="390">
        <v>2.4130278253781223E-2</v>
      </c>
      <c r="AH69" s="907">
        <v>3.8091299999999995E-2</v>
      </c>
      <c r="AI69" s="390">
        <v>4.1707871860098056E-2</v>
      </c>
    </row>
    <row r="70" spans="1:35" x14ac:dyDescent="0.25">
      <c r="A70" t="s">
        <v>1041</v>
      </c>
      <c r="B70" t="s">
        <v>95</v>
      </c>
      <c r="C70" t="s">
        <v>4364</v>
      </c>
      <c r="D70">
        <v>2024</v>
      </c>
      <c r="E70" t="s">
        <v>104</v>
      </c>
      <c r="F70" s="377">
        <f>'Background Data'!$BB$27</f>
        <v>18</v>
      </c>
      <c r="G70" s="52" t="s">
        <v>4363</v>
      </c>
      <c r="H70" s="377">
        <v>1</v>
      </c>
      <c r="I70" s="377">
        <v>1</v>
      </c>
      <c r="J70" s="377">
        <v>1</v>
      </c>
      <c r="K70" s="377">
        <v>3</v>
      </c>
      <c r="L70" s="377">
        <v>1</v>
      </c>
      <c r="AE70">
        <v>24</v>
      </c>
      <c r="AF70" s="907">
        <v>1.3283347767936993E-2</v>
      </c>
      <c r="AG70" s="390">
        <v>2.0393864969736997E-2</v>
      </c>
      <c r="AH70" s="390">
        <v>3.3106916999999986E-2</v>
      </c>
      <c r="AI70" s="907">
        <v>4.1674808770905125E-2</v>
      </c>
    </row>
    <row r="71" spans="1:35" x14ac:dyDescent="0.25">
      <c r="A71" t="s">
        <v>1043</v>
      </c>
      <c r="B71" t="s">
        <v>95</v>
      </c>
      <c r="C71" t="s">
        <v>4364</v>
      </c>
      <c r="D71">
        <v>2024</v>
      </c>
      <c r="E71" t="s">
        <v>104</v>
      </c>
      <c r="F71" s="377">
        <f>'Background Data'!$BB$27</f>
        <v>18</v>
      </c>
      <c r="G71" s="52" t="s">
        <v>4363</v>
      </c>
      <c r="H71" s="377">
        <v>1</v>
      </c>
      <c r="I71" s="377">
        <v>1</v>
      </c>
      <c r="J71" s="377">
        <v>1</v>
      </c>
      <c r="K71" s="377">
        <v>3</v>
      </c>
      <c r="L71" s="377">
        <v>1</v>
      </c>
      <c r="AE71">
        <v>25</v>
      </c>
      <c r="AF71" s="907">
        <v>1.0718927901032835E-2</v>
      </c>
      <c r="AG71" s="390">
        <v>1.7258722416802375E-2</v>
      </c>
      <c r="AH71" s="390">
        <v>3.0579899999999993E-2</v>
      </c>
      <c r="AI71" s="907">
        <v>4.1596825821225258E-2</v>
      </c>
    </row>
    <row r="72" spans="1:35" x14ac:dyDescent="0.25">
      <c r="A72" t="s">
        <v>1044</v>
      </c>
      <c r="B72" t="s">
        <v>95</v>
      </c>
      <c r="C72" t="s">
        <v>4364</v>
      </c>
      <c r="D72">
        <v>2024</v>
      </c>
      <c r="E72" t="s">
        <v>104</v>
      </c>
      <c r="F72" s="377">
        <f>'Background Data'!$BB$27</f>
        <v>18</v>
      </c>
      <c r="G72" s="52" t="s">
        <v>4363</v>
      </c>
      <c r="H72" s="377">
        <v>1</v>
      </c>
      <c r="I72" s="377">
        <v>1</v>
      </c>
      <c r="J72" s="377">
        <v>1</v>
      </c>
      <c r="K72" s="377">
        <v>3</v>
      </c>
      <c r="L72" s="377">
        <v>1</v>
      </c>
      <c r="AE72">
        <v>26</v>
      </c>
      <c r="AF72" s="907">
        <v>8.6673079734534281E-3</v>
      </c>
      <c r="AG72" s="390">
        <v>1.4623899124118434E-2</v>
      </c>
      <c r="AH72" s="390">
        <v>2.7038198000000013E-2</v>
      </c>
      <c r="AI72" s="907">
        <v>4.1495249071991647E-2</v>
      </c>
    </row>
    <row r="73" spans="1:35" x14ac:dyDescent="0.25">
      <c r="A73" t="s">
        <v>1071</v>
      </c>
      <c r="B73" t="s">
        <v>95</v>
      </c>
      <c r="C73" t="s">
        <v>4364</v>
      </c>
      <c r="D73">
        <v>2024</v>
      </c>
      <c r="E73" t="s">
        <v>104</v>
      </c>
      <c r="F73" s="377">
        <f>'Background Data'!$BB$27</f>
        <v>18</v>
      </c>
      <c r="G73" s="52" t="s">
        <v>4363</v>
      </c>
      <c r="H73" s="377">
        <v>1</v>
      </c>
      <c r="I73" s="377">
        <v>1</v>
      </c>
      <c r="J73" s="377">
        <v>1</v>
      </c>
      <c r="K73" s="377">
        <v>3</v>
      </c>
      <c r="L73" s="377">
        <v>1</v>
      </c>
      <c r="AE73">
        <v>27</v>
      </c>
      <c r="AF73" s="907">
        <v>6.9901043590746698E-3</v>
      </c>
      <c r="AG73" s="390">
        <v>1.2332334154962127E-2</v>
      </c>
      <c r="AH73" s="390">
        <v>2.1212070999999999E-2</v>
      </c>
      <c r="AI73" s="390">
        <v>4.1391404584137814E-2</v>
      </c>
    </row>
    <row r="74" spans="1:35" x14ac:dyDescent="0.25">
      <c r="A74" t="s">
        <v>1072</v>
      </c>
      <c r="B74" t="s">
        <v>95</v>
      </c>
      <c r="C74" t="s">
        <v>4364</v>
      </c>
      <c r="D74">
        <v>2024</v>
      </c>
      <c r="E74" t="s">
        <v>104</v>
      </c>
      <c r="F74" s="377">
        <f>'Background Data'!$BB$27</f>
        <v>18</v>
      </c>
      <c r="G74" s="52" t="s">
        <v>4363</v>
      </c>
      <c r="H74" s="377">
        <v>1</v>
      </c>
      <c r="I74" s="377">
        <v>1</v>
      </c>
      <c r="J74" s="377">
        <v>1</v>
      </c>
      <c r="K74" s="377">
        <v>3</v>
      </c>
      <c r="L74" s="377">
        <v>1</v>
      </c>
      <c r="AE74">
        <v>28</v>
      </c>
      <c r="AF74" s="907">
        <v>5.7063351314641658E-3</v>
      </c>
      <c r="AG74" s="907">
        <v>1.0497488330474758E-2</v>
      </c>
      <c r="AH74" s="907">
        <v>1.780174499999998E-2</v>
      </c>
      <c r="AI74" s="390">
        <v>4.1306618418596841E-2</v>
      </c>
    </row>
    <row r="75" spans="1:35" x14ac:dyDescent="0.25">
      <c r="A75" t="s">
        <v>1073</v>
      </c>
      <c r="B75" t="s">
        <v>95</v>
      </c>
      <c r="C75" t="s">
        <v>4364</v>
      </c>
      <c r="D75">
        <v>2024</v>
      </c>
      <c r="E75" t="s">
        <v>104</v>
      </c>
      <c r="F75" s="377">
        <f>'Background Data'!$BB$27</f>
        <v>18</v>
      </c>
      <c r="G75" s="52" t="s">
        <v>4363</v>
      </c>
      <c r="H75" s="377">
        <v>1</v>
      </c>
      <c r="I75" s="377">
        <v>1</v>
      </c>
      <c r="J75" s="377">
        <v>1</v>
      </c>
      <c r="K75" s="377">
        <v>3</v>
      </c>
      <c r="L75" s="377">
        <v>1</v>
      </c>
      <c r="AE75">
        <v>29</v>
      </c>
      <c r="AF75" s="907">
        <v>4.6406940306708971E-3</v>
      </c>
      <c r="AG75" s="907">
        <v>8.8854693312111765E-3</v>
      </c>
      <c r="AH75" s="907">
        <v>1.5607167000000005E-2</v>
      </c>
      <c r="AI75" s="390">
        <v>4.1262216636302251E-2</v>
      </c>
    </row>
    <row r="76" spans="1:35" x14ac:dyDescent="0.25">
      <c r="A76" t="s">
        <v>1074</v>
      </c>
      <c r="B76" t="s">
        <v>95</v>
      </c>
      <c r="C76" t="s">
        <v>782</v>
      </c>
      <c r="D76">
        <v>2023</v>
      </c>
      <c r="E76" t="s">
        <v>104</v>
      </c>
      <c r="F76" s="377">
        <f>'Background Data'!$BB$28</f>
        <v>19</v>
      </c>
      <c r="G76" s="52" t="s">
        <v>784</v>
      </c>
      <c r="H76" s="377">
        <v>1</v>
      </c>
      <c r="I76" s="377">
        <v>1</v>
      </c>
      <c r="J76" s="377">
        <v>1</v>
      </c>
      <c r="K76" s="377">
        <v>3</v>
      </c>
      <c r="L76" s="377">
        <v>1</v>
      </c>
      <c r="AE76">
        <v>30</v>
      </c>
      <c r="AF76" s="907">
        <v>1.2885614022462438E-2</v>
      </c>
      <c r="AG76" s="907">
        <v>1.6175268051446368E-2</v>
      </c>
      <c r="AH76" s="907">
        <v>1.3815777000000001E-2</v>
      </c>
      <c r="AI76" s="907">
        <v>4.1279525298187236E-2</v>
      </c>
    </row>
    <row r="77" spans="1:35" x14ac:dyDescent="0.25">
      <c r="A77" t="s">
        <v>1075</v>
      </c>
      <c r="B77" t="s">
        <v>95</v>
      </c>
      <c r="C77" t="s">
        <v>782</v>
      </c>
      <c r="D77">
        <v>2023</v>
      </c>
      <c r="E77" t="s">
        <v>104</v>
      </c>
      <c r="F77" s="377">
        <f>'Background Data'!$BB$28</f>
        <v>19</v>
      </c>
      <c r="G77" s="52" t="s">
        <v>784</v>
      </c>
      <c r="H77" s="377">
        <v>1</v>
      </c>
      <c r="I77" s="377">
        <v>1</v>
      </c>
      <c r="J77" s="377">
        <v>1</v>
      </c>
      <c r="K77" s="377">
        <v>3</v>
      </c>
      <c r="L77" s="377">
        <v>1</v>
      </c>
      <c r="AE77">
        <v>31</v>
      </c>
      <c r="AF77" s="907">
        <v>1.0577947367994119E-2</v>
      </c>
      <c r="AG77" s="907">
        <v>1.371668095128975E-2</v>
      </c>
      <c r="AH77" s="907">
        <v>1.1974058999999995E-2</v>
      </c>
      <c r="AI77" s="907">
        <v>4.1379870465185209E-2</v>
      </c>
    </row>
    <row r="78" spans="1:35" x14ac:dyDescent="0.25">
      <c r="A78" t="s">
        <v>1076</v>
      </c>
      <c r="B78" t="s">
        <v>95</v>
      </c>
      <c r="C78" t="s">
        <v>782</v>
      </c>
      <c r="D78">
        <v>2023</v>
      </c>
      <c r="E78" t="s">
        <v>104</v>
      </c>
      <c r="F78" s="377">
        <f>'Background Data'!$BB$28</f>
        <v>19</v>
      </c>
      <c r="G78" s="52" t="s">
        <v>784</v>
      </c>
      <c r="H78" s="377">
        <v>1</v>
      </c>
      <c r="I78" s="377">
        <v>1</v>
      </c>
      <c r="J78" s="377">
        <v>1</v>
      </c>
      <c r="K78" s="377">
        <v>3</v>
      </c>
      <c r="L78" s="377">
        <v>1</v>
      </c>
      <c r="AE78">
        <v>32</v>
      </c>
      <c r="AF78" s="907">
        <v>8.6835575180973026E-3</v>
      </c>
      <c r="AG78" s="907">
        <v>1.1649405894920639E-2</v>
      </c>
      <c r="AH78" s="907">
        <v>1.0165449000000007E-2</v>
      </c>
      <c r="AI78" s="907">
        <v>4.1584578198229361E-2</v>
      </c>
    </row>
    <row r="79" spans="1:35" x14ac:dyDescent="0.25">
      <c r="A79" t="s">
        <v>1077</v>
      </c>
      <c r="B79" t="s">
        <v>95</v>
      </c>
      <c r="C79" t="s">
        <v>782</v>
      </c>
      <c r="D79">
        <v>2023</v>
      </c>
      <c r="E79" t="s">
        <v>104</v>
      </c>
      <c r="F79" s="377">
        <f>'Background Data'!$BB$28</f>
        <v>19</v>
      </c>
      <c r="G79" s="52" t="s">
        <v>784</v>
      </c>
      <c r="H79" s="377">
        <v>1</v>
      </c>
      <c r="I79" s="377">
        <v>1</v>
      </c>
      <c r="J79" s="377">
        <v>1</v>
      </c>
      <c r="K79" s="377">
        <v>3</v>
      </c>
      <c r="L79" s="377">
        <v>1</v>
      </c>
      <c r="AE79">
        <v>33</v>
      </c>
      <c r="AF79" s="907">
        <v>7.1284313058936066E-3</v>
      </c>
      <c r="AG79" s="907">
        <v>9.9087085823198334E-3</v>
      </c>
      <c r="AH79" s="907">
        <v>8.4110250000000025E-3</v>
      </c>
      <c r="AI79" s="907">
        <v>4.1914974558253215E-2</v>
      </c>
    </row>
    <row r="80" spans="1:35" x14ac:dyDescent="0.25">
      <c r="A80" t="s">
        <v>1078</v>
      </c>
      <c r="B80" t="s">
        <v>95</v>
      </c>
      <c r="C80" t="s">
        <v>782</v>
      </c>
      <c r="D80">
        <v>2023</v>
      </c>
      <c r="E80" t="s">
        <v>104</v>
      </c>
      <c r="F80" s="377">
        <f>'Background Data'!$BB$28</f>
        <v>19</v>
      </c>
      <c r="G80" s="52" t="s">
        <v>784</v>
      </c>
      <c r="H80" s="377">
        <v>1</v>
      </c>
      <c r="I80" s="377">
        <v>1</v>
      </c>
      <c r="J80" s="377">
        <v>1</v>
      </c>
      <c r="K80" s="377">
        <v>3</v>
      </c>
      <c r="L80" s="377">
        <v>1</v>
      </c>
      <c r="AE80">
        <v>34</v>
      </c>
      <c r="AF80" s="907">
        <v>5.8518104793965006E-3</v>
      </c>
      <c r="AG80" s="907">
        <v>8.4408897329999594E-3</v>
      </c>
      <c r="AH80" s="907">
        <v>6.8484539999999899E-3</v>
      </c>
      <c r="AI80" s="907">
        <v>4.2392385606189853E-2</v>
      </c>
    </row>
    <row r="81" spans="1:35" x14ac:dyDescent="0.25">
      <c r="A81" t="s">
        <v>1079</v>
      </c>
      <c r="B81" t="s">
        <v>95</v>
      </c>
      <c r="C81" t="s">
        <v>782</v>
      </c>
      <c r="D81">
        <v>2023</v>
      </c>
      <c r="E81" t="s">
        <v>104</v>
      </c>
      <c r="F81" s="377">
        <f>'Background Data'!$BB$28</f>
        <v>19</v>
      </c>
      <c r="G81" s="52" t="s">
        <v>784</v>
      </c>
      <c r="H81" s="377">
        <v>1</v>
      </c>
      <c r="I81" s="377">
        <v>1</v>
      </c>
      <c r="J81" s="377">
        <v>1</v>
      </c>
      <c r="K81" s="377">
        <v>3</v>
      </c>
      <c r="L81" s="377">
        <v>1</v>
      </c>
      <c r="AE81">
        <v>35</v>
      </c>
      <c r="AF81" s="907">
        <v>4.8038178972788677E-3</v>
      </c>
      <c r="AG81" s="907">
        <v>7.2013622700519489E-3</v>
      </c>
      <c r="AH81" s="907">
        <v>5.2719060000000068E-3</v>
      </c>
      <c r="AI81" s="907">
        <v>0</v>
      </c>
    </row>
    <row r="82" spans="1:35" x14ac:dyDescent="0.25">
      <c r="A82" t="s">
        <v>1081</v>
      </c>
      <c r="B82" t="s">
        <v>95</v>
      </c>
      <c r="C82" t="s">
        <v>420</v>
      </c>
      <c r="D82">
        <v>2009</v>
      </c>
      <c r="E82" t="s">
        <v>104</v>
      </c>
      <c r="F82" s="377">
        <f>'Background Data'!$BB$30</f>
        <v>17</v>
      </c>
      <c r="G82" s="52" t="s">
        <v>421</v>
      </c>
      <c r="H82" s="377">
        <v>2</v>
      </c>
      <c r="I82" s="377">
        <v>1</v>
      </c>
      <c r="J82" s="377">
        <v>4</v>
      </c>
      <c r="K82" s="377">
        <v>3</v>
      </c>
      <c r="L82" s="377">
        <v>1</v>
      </c>
      <c r="AE82">
        <v>36</v>
      </c>
      <c r="AF82" s="907">
        <v>3.9435088459318472E-3</v>
      </c>
      <c r="AG82" s="907">
        <v>6.1530687274812049E-3</v>
      </c>
      <c r="AH82" s="907">
        <v>1.7326763000000002E-2</v>
      </c>
      <c r="AI82" s="907">
        <v>0</v>
      </c>
    </row>
    <row r="83" spans="1:35" x14ac:dyDescent="0.25">
      <c r="A83" t="s">
        <v>1082</v>
      </c>
      <c r="B83" t="s">
        <v>95</v>
      </c>
      <c r="C83" t="s">
        <v>420</v>
      </c>
      <c r="D83">
        <v>2009</v>
      </c>
      <c r="E83" t="s">
        <v>104</v>
      </c>
      <c r="F83" s="377">
        <f>'Background Data'!$BB$30</f>
        <v>17</v>
      </c>
      <c r="G83" s="52" t="s">
        <v>421</v>
      </c>
      <c r="H83" s="377">
        <v>2</v>
      </c>
      <c r="I83" s="377">
        <v>1</v>
      </c>
      <c r="J83" s="377">
        <v>4</v>
      </c>
      <c r="K83" s="377">
        <v>3</v>
      </c>
      <c r="L83" s="377">
        <v>1</v>
      </c>
      <c r="AE83">
        <v>37</v>
      </c>
      <c r="AF83" s="907">
        <v>3.2372713434353443E-3</v>
      </c>
      <c r="AG83" s="907">
        <v>5.2651780526930467E-3</v>
      </c>
      <c r="AH83" s="907">
        <v>8.2999999999999949E-3</v>
      </c>
      <c r="AI83" s="907">
        <v>0</v>
      </c>
    </row>
    <row r="84" spans="1:35" x14ac:dyDescent="0.25">
      <c r="A84" t="s">
        <v>1094</v>
      </c>
      <c r="B84" t="s">
        <v>95</v>
      </c>
      <c r="C84" t="s">
        <v>170</v>
      </c>
      <c r="D84">
        <v>2022</v>
      </c>
      <c r="E84" t="s">
        <v>104</v>
      </c>
      <c r="F84" s="377">
        <f>'Background Data'!$AG$25</f>
        <v>13</v>
      </c>
      <c r="G84" s="52" t="s">
        <v>429</v>
      </c>
      <c r="H84" s="377">
        <v>1</v>
      </c>
      <c r="I84" s="377">
        <v>1</v>
      </c>
      <c r="J84" s="377">
        <v>1</v>
      </c>
      <c r="K84" s="377">
        <v>1</v>
      </c>
      <c r="L84" s="377">
        <v>1</v>
      </c>
      <c r="AE84">
        <v>38</v>
      </c>
      <c r="AF84" s="907">
        <v>2.6575129308607625E-3</v>
      </c>
      <c r="AG84" s="907">
        <v>4.512011926610434E-3</v>
      </c>
      <c r="AH84" s="907">
        <v>6.800000000000004E-3</v>
      </c>
      <c r="AI84" s="907">
        <v>0</v>
      </c>
    </row>
    <row r="85" spans="1:35" x14ac:dyDescent="0.25">
      <c r="A85" t="s">
        <v>1095</v>
      </c>
      <c r="B85" t="s">
        <v>95</v>
      </c>
      <c r="C85" t="s">
        <v>170</v>
      </c>
      <c r="D85">
        <v>2022</v>
      </c>
      <c r="E85" t="s">
        <v>104</v>
      </c>
      <c r="F85" s="377">
        <f>'Background Data'!$AG$25</f>
        <v>13</v>
      </c>
      <c r="G85" s="52" t="s">
        <v>428</v>
      </c>
      <c r="H85" s="377">
        <v>1</v>
      </c>
      <c r="I85" s="377">
        <v>1</v>
      </c>
      <c r="J85" s="377">
        <v>1</v>
      </c>
      <c r="K85" s="377">
        <v>1</v>
      </c>
      <c r="L85" s="377">
        <v>1</v>
      </c>
      <c r="AE85">
        <v>39</v>
      </c>
      <c r="AF85" s="907">
        <v>2.1815826442888389E-3</v>
      </c>
      <c r="AG85" s="907">
        <v>3.8721596942343332E-3</v>
      </c>
      <c r="AH85" s="907">
        <v>5.5999999999999973E-3</v>
      </c>
      <c r="AI85" s="907">
        <v>0</v>
      </c>
    </row>
    <row r="86" spans="1:35" x14ac:dyDescent="0.25">
      <c r="A86" t="s">
        <v>1096</v>
      </c>
      <c r="B86" t="s">
        <v>95</v>
      </c>
      <c r="C86" t="s">
        <v>170</v>
      </c>
      <c r="D86">
        <v>2022</v>
      </c>
      <c r="E86" t="s">
        <v>104</v>
      </c>
      <c r="F86" s="377">
        <f>'Background Data'!$AG$28</f>
        <v>12</v>
      </c>
      <c r="G86" s="52" t="s">
        <v>428</v>
      </c>
      <c r="H86" s="377">
        <v>1</v>
      </c>
      <c r="I86" s="377">
        <v>1</v>
      </c>
      <c r="J86" s="377">
        <v>1</v>
      </c>
      <c r="K86" s="377">
        <v>1</v>
      </c>
      <c r="L86" s="377">
        <v>1</v>
      </c>
    </row>
    <row r="87" spans="1:35" x14ac:dyDescent="0.25">
      <c r="A87" t="s">
        <v>1097</v>
      </c>
      <c r="B87" t="s">
        <v>95</v>
      </c>
      <c r="C87" t="s">
        <v>170</v>
      </c>
      <c r="D87">
        <v>2022</v>
      </c>
      <c r="E87" t="s">
        <v>104</v>
      </c>
      <c r="F87" s="377">
        <f>'Background Data'!$AG$25</f>
        <v>13</v>
      </c>
      <c r="G87" s="52" t="s">
        <v>428</v>
      </c>
      <c r="H87" s="377">
        <v>1</v>
      </c>
      <c r="I87" s="377">
        <v>1</v>
      </c>
      <c r="J87" s="377">
        <v>1</v>
      </c>
      <c r="K87" s="377">
        <v>1</v>
      </c>
      <c r="L87" s="377">
        <v>1</v>
      </c>
    </row>
    <row r="88" spans="1:35" x14ac:dyDescent="0.25">
      <c r="A88" t="s">
        <v>1098</v>
      </c>
      <c r="B88" t="s">
        <v>95</v>
      </c>
      <c r="C88" t="s">
        <v>170</v>
      </c>
      <c r="D88">
        <v>2022</v>
      </c>
      <c r="E88" t="s">
        <v>104</v>
      </c>
      <c r="F88" s="377">
        <f>'Background Data'!$AG$25</f>
        <v>13</v>
      </c>
      <c r="G88" s="52" t="s">
        <v>428</v>
      </c>
      <c r="H88" s="377">
        <v>1</v>
      </c>
      <c r="I88" s="377">
        <v>1</v>
      </c>
      <c r="J88" s="377">
        <v>1</v>
      </c>
      <c r="K88" s="377">
        <v>1</v>
      </c>
      <c r="L88" s="377">
        <v>1</v>
      </c>
    </row>
    <row r="89" spans="1:35" x14ac:dyDescent="0.25">
      <c r="A89" t="s">
        <v>1099</v>
      </c>
      <c r="B89" t="s">
        <v>95</v>
      </c>
      <c r="C89" t="s">
        <v>170</v>
      </c>
      <c r="D89">
        <v>2022</v>
      </c>
      <c r="E89" t="s">
        <v>104</v>
      </c>
      <c r="F89" s="377">
        <f>'Background Data'!$AG$25</f>
        <v>13</v>
      </c>
      <c r="G89" s="52" t="s">
        <v>428</v>
      </c>
      <c r="H89" s="377">
        <v>1</v>
      </c>
      <c r="I89" s="377">
        <v>1</v>
      </c>
      <c r="J89" s="377">
        <v>1</v>
      </c>
      <c r="K89" s="377">
        <v>1</v>
      </c>
      <c r="L89" s="377">
        <v>1</v>
      </c>
    </row>
    <row r="90" spans="1:35" x14ac:dyDescent="0.25">
      <c r="A90" t="s">
        <v>1100</v>
      </c>
      <c r="B90" t="s">
        <v>95</v>
      </c>
      <c r="C90" t="s">
        <v>170</v>
      </c>
      <c r="D90">
        <v>2022</v>
      </c>
      <c r="E90" t="s">
        <v>104</v>
      </c>
      <c r="F90" s="377">
        <f>'Background Data'!$AG$25</f>
        <v>13</v>
      </c>
      <c r="G90" s="52" t="s">
        <v>428</v>
      </c>
      <c r="H90" s="377">
        <v>1</v>
      </c>
      <c r="I90" s="377">
        <v>1</v>
      </c>
      <c r="J90" s="377">
        <v>1</v>
      </c>
      <c r="K90" s="377">
        <v>1</v>
      </c>
      <c r="L90" s="377">
        <v>1</v>
      </c>
    </row>
    <row r="91" spans="1:35" x14ac:dyDescent="0.25">
      <c r="A91" t="s">
        <v>1101</v>
      </c>
      <c r="B91" t="s">
        <v>95</v>
      </c>
      <c r="C91" t="s">
        <v>170</v>
      </c>
      <c r="D91">
        <v>2022</v>
      </c>
      <c r="E91" t="s">
        <v>104</v>
      </c>
      <c r="F91" s="377">
        <f>'Background Data'!$AG$25</f>
        <v>13</v>
      </c>
      <c r="G91" s="52" t="s">
        <v>428</v>
      </c>
      <c r="H91" s="377">
        <v>1</v>
      </c>
      <c r="I91" s="377">
        <v>1</v>
      </c>
      <c r="J91" s="377">
        <v>1</v>
      </c>
      <c r="K91" s="377">
        <v>1</v>
      </c>
      <c r="L91" s="377">
        <v>1</v>
      </c>
    </row>
    <row r="92" spans="1:35" x14ac:dyDescent="0.25">
      <c r="A92" t="s">
        <v>1102</v>
      </c>
      <c r="B92" t="s">
        <v>95</v>
      </c>
      <c r="C92" t="s">
        <v>170</v>
      </c>
      <c r="D92">
        <v>2022</v>
      </c>
      <c r="E92" t="s">
        <v>104</v>
      </c>
      <c r="F92" s="377">
        <f>'Background Data'!$AG$25</f>
        <v>13</v>
      </c>
      <c r="G92" s="52" t="s">
        <v>429</v>
      </c>
      <c r="H92" s="377">
        <v>1</v>
      </c>
      <c r="I92" s="377">
        <v>1</v>
      </c>
      <c r="J92" s="377">
        <v>1</v>
      </c>
      <c r="K92" s="377">
        <v>1</v>
      </c>
      <c r="L92" s="377">
        <v>1</v>
      </c>
    </row>
    <row r="93" spans="1:35" x14ac:dyDescent="0.25">
      <c r="A93" t="s">
        <v>1103</v>
      </c>
      <c r="B93" t="s">
        <v>95</v>
      </c>
      <c r="C93" t="s">
        <v>170</v>
      </c>
      <c r="D93">
        <v>2022</v>
      </c>
      <c r="E93" t="s">
        <v>104</v>
      </c>
      <c r="F93" s="377">
        <f>'Background Data'!$AG$25</f>
        <v>13</v>
      </c>
      <c r="G93" s="52" t="s">
        <v>428</v>
      </c>
      <c r="H93" s="377">
        <v>1</v>
      </c>
      <c r="I93" s="377">
        <v>1</v>
      </c>
      <c r="J93" s="377">
        <v>1</v>
      </c>
      <c r="K93" s="377">
        <v>1</v>
      </c>
      <c r="L93" s="377">
        <v>1</v>
      </c>
    </row>
    <row r="94" spans="1:35" x14ac:dyDescent="0.25">
      <c r="A94" t="s">
        <v>1104</v>
      </c>
      <c r="B94" t="s">
        <v>95</v>
      </c>
      <c r="C94" t="s">
        <v>170</v>
      </c>
      <c r="D94">
        <v>2022</v>
      </c>
      <c r="E94" t="s">
        <v>104</v>
      </c>
      <c r="F94" s="377">
        <f>'Background Data'!$AG$28</f>
        <v>12</v>
      </c>
      <c r="G94" s="52" t="s">
        <v>428</v>
      </c>
      <c r="H94" s="377">
        <v>1</v>
      </c>
      <c r="I94" s="377">
        <v>1</v>
      </c>
      <c r="J94" s="377">
        <v>1</v>
      </c>
      <c r="K94" s="377">
        <v>1</v>
      </c>
      <c r="L94" s="377">
        <v>1</v>
      </c>
    </row>
    <row r="95" spans="1:35" x14ac:dyDescent="0.25">
      <c r="A95" t="s">
        <v>1105</v>
      </c>
      <c r="B95" t="s">
        <v>95</v>
      </c>
      <c r="C95" t="s">
        <v>170</v>
      </c>
      <c r="D95">
        <v>2022</v>
      </c>
      <c r="E95" t="s">
        <v>104</v>
      </c>
      <c r="F95" s="377">
        <f>'Background Data'!$AG$25</f>
        <v>13</v>
      </c>
      <c r="G95" s="52" t="s">
        <v>428</v>
      </c>
      <c r="H95" s="377">
        <v>1</v>
      </c>
      <c r="I95" s="377">
        <v>1</v>
      </c>
      <c r="J95" s="377">
        <v>1</v>
      </c>
      <c r="K95" s="377">
        <v>1</v>
      </c>
      <c r="L95" s="377">
        <v>1</v>
      </c>
    </row>
    <row r="96" spans="1:35" x14ac:dyDescent="0.25">
      <c r="A96" t="s">
        <v>1106</v>
      </c>
      <c r="B96" t="s">
        <v>95</v>
      </c>
      <c r="C96" t="s">
        <v>170</v>
      </c>
      <c r="D96">
        <v>2022</v>
      </c>
      <c r="E96" t="s">
        <v>104</v>
      </c>
      <c r="F96" s="377">
        <f>'Background Data'!$AG$25</f>
        <v>13</v>
      </c>
      <c r="G96" s="52" t="s">
        <v>428</v>
      </c>
      <c r="H96" s="377">
        <v>1</v>
      </c>
      <c r="I96" s="377">
        <v>1</v>
      </c>
      <c r="J96" s="377">
        <v>1</v>
      </c>
      <c r="K96" s="377">
        <v>1</v>
      </c>
      <c r="L96" s="377">
        <v>1</v>
      </c>
    </row>
    <row r="97" spans="1:12" x14ac:dyDescent="0.25">
      <c r="A97" t="s">
        <v>1107</v>
      </c>
      <c r="B97" t="s">
        <v>95</v>
      </c>
      <c r="C97" t="s">
        <v>170</v>
      </c>
      <c r="D97">
        <v>2022</v>
      </c>
      <c r="E97" t="s">
        <v>104</v>
      </c>
      <c r="F97" s="377">
        <f>'Background Data'!$AG$25</f>
        <v>13</v>
      </c>
      <c r="G97" s="52" t="s">
        <v>428</v>
      </c>
      <c r="H97" s="377">
        <v>1</v>
      </c>
      <c r="I97" s="377">
        <v>1</v>
      </c>
      <c r="J97" s="377">
        <v>1</v>
      </c>
      <c r="K97" s="377">
        <v>1</v>
      </c>
      <c r="L97" s="377">
        <v>1</v>
      </c>
    </row>
    <row r="98" spans="1:12" x14ac:dyDescent="0.25">
      <c r="A98" t="s">
        <v>1108</v>
      </c>
      <c r="B98" t="s">
        <v>95</v>
      </c>
      <c r="C98" t="s">
        <v>170</v>
      </c>
      <c r="D98">
        <v>2022</v>
      </c>
      <c r="E98" t="s">
        <v>104</v>
      </c>
      <c r="F98" s="377">
        <f>'Background Data'!$AG$25</f>
        <v>13</v>
      </c>
      <c r="G98" s="52" t="s">
        <v>428</v>
      </c>
      <c r="H98" s="377">
        <v>1</v>
      </c>
      <c r="I98" s="377">
        <v>1</v>
      </c>
      <c r="J98" s="377">
        <v>1</v>
      </c>
      <c r="K98" s="377">
        <v>1</v>
      </c>
      <c r="L98" s="377">
        <v>1</v>
      </c>
    </row>
    <row r="99" spans="1:12" x14ac:dyDescent="0.25">
      <c r="A99" t="s">
        <v>1109</v>
      </c>
      <c r="B99" t="s">
        <v>95</v>
      </c>
      <c r="C99" t="s">
        <v>170</v>
      </c>
      <c r="D99">
        <v>2022</v>
      </c>
      <c r="E99" t="s">
        <v>104</v>
      </c>
      <c r="F99" s="377">
        <f>'Background Data'!$AG$25</f>
        <v>13</v>
      </c>
      <c r="G99" s="52" t="s">
        <v>428</v>
      </c>
      <c r="H99" s="377">
        <v>1</v>
      </c>
      <c r="I99" s="377">
        <v>1</v>
      </c>
      <c r="J99" s="377">
        <v>1</v>
      </c>
      <c r="K99" s="377">
        <v>1</v>
      </c>
      <c r="L99" s="377">
        <v>1</v>
      </c>
    </row>
    <row r="100" spans="1:12" x14ac:dyDescent="0.25">
      <c r="A100" t="s">
        <v>1110</v>
      </c>
      <c r="B100" t="s">
        <v>95</v>
      </c>
      <c r="C100" t="s">
        <v>170</v>
      </c>
      <c r="D100">
        <v>2022</v>
      </c>
      <c r="E100" t="s">
        <v>104</v>
      </c>
      <c r="F100" s="377">
        <f>'Background Data'!$AG$25</f>
        <v>13</v>
      </c>
      <c r="G100" s="52" t="s">
        <v>429</v>
      </c>
      <c r="H100" s="377">
        <v>1</v>
      </c>
      <c r="I100" s="377">
        <v>1</v>
      </c>
      <c r="J100" s="377">
        <v>1</v>
      </c>
      <c r="K100" s="377">
        <v>1</v>
      </c>
      <c r="L100" s="377">
        <v>1</v>
      </c>
    </row>
    <row r="101" spans="1:12" x14ac:dyDescent="0.25">
      <c r="A101" t="s">
        <v>1111</v>
      </c>
      <c r="B101" t="s">
        <v>95</v>
      </c>
      <c r="C101" t="s">
        <v>170</v>
      </c>
      <c r="D101">
        <v>2022</v>
      </c>
      <c r="E101" t="s">
        <v>104</v>
      </c>
      <c r="F101" s="377">
        <f>'Background Data'!$AG$25</f>
        <v>13</v>
      </c>
      <c r="G101" s="52" t="s">
        <v>428</v>
      </c>
      <c r="H101" s="377">
        <v>1</v>
      </c>
      <c r="I101" s="377">
        <v>1</v>
      </c>
      <c r="J101" s="377">
        <v>1</v>
      </c>
      <c r="K101" s="377">
        <v>1</v>
      </c>
      <c r="L101" s="377">
        <v>1</v>
      </c>
    </row>
    <row r="102" spans="1:12" x14ac:dyDescent="0.25">
      <c r="A102" t="s">
        <v>1112</v>
      </c>
      <c r="B102" t="s">
        <v>95</v>
      </c>
      <c r="C102" t="s">
        <v>170</v>
      </c>
      <c r="D102">
        <v>2022</v>
      </c>
      <c r="E102" t="s">
        <v>104</v>
      </c>
      <c r="F102" s="377">
        <f>'Background Data'!$AG$25</f>
        <v>13</v>
      </c>
      <c r="G102" s="52" t="s">
        <v>428</v>
      </c>
      <c r="H102" s="377">
        <v>1</v>
      </c>
      <c r="I102" s="377">
        <v>1</v>
      </c>
      <c r="J102" s="377">
        <v>1</v>
      </c>
      <c r="K102" s="377">
        <v>1</v>
      </c>
      <c r="L102" s="377">
        <v>1</v>
      </c>
    </row>
    <row r="103" spans="1:12" x14ac:dyDescent="0.25">
      <c r="A103" t="s">
        <v>1113</v>
      </c>
      <c r="B103" t="s">
        <v>95</v>
      </c>
      <c r="C103" t="s">
        <v>170</v>
      </c>
      <c r="D103">
        <v>2022</v>
      </c>
      <c r="E103" t="s">
        <v>104</v>
      </c>
      <c r="F103" s="377">
        <f>'Background Data'!$AG$25</f>
        <v>13</v>
      </c>
      <c r="G103" s="52" t="s">
        <v>428</v>
      </c>
      <c r="H103" s="377">
        <v>1</v>
      </c>
      <c r="I103" s="377">
        <v>1</v>
      </c>
      <c r="J103" s="377">
        <v>1</v>
      </c>
      <c r="K103" s="377">
        <v>1</v>
      </c>
      <c r="L103" s="377">
        <v>1</v>
      </c>
    </row>
    <row r="104" spans="1:12" x14ac:dyDescent="0.25">
      <c r="A104" t="s">
        <v>1114</v>
      </c>
      <c r="B104" t="s">
        <v>95</v>
      </c>
      <c r="C104" t="s">
        <v>170</v>
      </c>
      <c r="D104">
        <v>2022</v>
      </c>
      <c r="E104" t="s">
        <v>104</v>
      </c>
      <c r="F104" s="377">
        <f>'Background Data'!$AG$25</f>
        <v>13</v>
      </c>
      <c r="G104" s="52" t="s">
        <v>428</v>
      </c>
      <c r="H104" s="377">
        <v>1</v>
      </c>
      <c r="I104" s="377">
        <v>1</v>
      </c>
      <c r="J104" s="377">
        <v>1</v>
      </c>
      <c r="K104" s="377">
        <v>1</v>
      </c>
      <c r="L104" s="377">
        <v>1</v>
      </c>
    </row>
    <row r="105" spans="1:12" x14ac:dyDescent="0.25">
      <c r="A105" t="s">
        <v>1118</v>
      </c>
      <c r="B105" t="s">
        <v>95</v>
      </c>
      <c r="C105" t="s">
        <v>4301</v>
      </c>
      <c r="D105">
        <v>2013</v>
      </c>
      <c r="E105" t="s">
        <v>104</v>
      </c>
      <c r="F105" s="377">
        <f>'Background Data'!$BB$31</f>
        <v>24</v>
      </c>
      <c r="G105" s="52" t="s">
        <v>430</v>
      </c>
      <c r="H105" s="377">
        <v>3</v>
      </c>
      <c r="I105" s="377">
        <v>1</v>
      </c>
      <c r="J105" s="377">
        <v>3</v>
      </c>
      <c r="K105" s="377">
        <v>3</v>
      </c>
      <c r="L105" s="377">
        <v>1</v>
      </c>
    </row>
    <row r="106" spans="1:12" x14ac:dyDescent="0.25">
      <c r="A106" t="s">
        <v>1119</v>
      </c>
      <c r="B106" t="s">
        <v>95</v>
      </c>
      <c r="C106" t="s">
        <v>4301</v>
      </c>
      <c r="D106">
        <v>2013</v>
      </c>
      <c r="E106" t="s">
        <v>104</v>
      </c>
      <c r="F106" s="377">
        <f>'Background Data'!$BB$31</f>
        <v>24</v>
      </c>
      <c r="G106" s="52" t="s">
        <v>430</v>
      </c>
      <c r="H106" s="377">
        <v>3</v>
      </c>
      <c r="I106" s="377">
        <v>1</v>
      </c>
      <c r="J106" s="377">
        <v>3</v>
      </c>
      <c r="K106" s="377">
        <v>3</v>
      </c>
      <c r="L106" s="377">
        <v>1</v>
      </c>
    </row>
    <row r="107" spans="1:12" x14ac:dyDescent="0.25">
      <c r="A107" t="s">
        <v>1120</v>
      </c>
      <c r="B107" t="s">
        <v>95</v>
      </c>
      <c r="C107" t="s">
        <v>4301</v>
      </c>
      <c r="D107">
        <v>2013</v>
      </c>
      <c r="E107" t="s">
        <v>104</v>
      </c>
      <c r="F107" s="377">
        <f>'Background Data'!$BB$31</f>
        <v>24</v>
      </c>
      <c r="G107" s="52" t="s">
        <v>430</v>
      </c>
      <c r="H107" s="377">
        <v>3</v>
      </c>
      <c r="I107" s="377">
        <v>1</v>
      </c>
      <c r="J107" s="377">
        <v>3</v>
      </c>
      <c r="K107" s="377">
        <v>3</v>
      </c>
      <c r="L107" s="377">
        <v>1</v>
      </c>
    </row>
    <row r="108" spans="1:12" x14ac:dyDescent="0.25">
      <c r="A108" t="s">
        <v>1121</v>
      </c>
      <c r="B108" t="s">
        <v>95</v>
      </c>
      <c r="C108" t="s">
        <v>4301</v>
      </c>
      <c r="D108">
        <v>2013</v>
      </c>
      <c r="E108" t="s">
        <v>104</v>
      </c>
      <c r="F108" s="377">
        <f>'Background Data'!$BB$31</f>
        <v>24</v>
      </c>
      <c r="G108" s="52" t="s">
        <v>430</v>
      </c>
      <c r="H108" s="377">
        <v>3</v>
      </c>
      <c r="I108" s="377">
        <v>1</v>
      </c>
      <c r="J108" s="377">
        <v>3</v>
      </c>
      <c r="K108" s="377">
        <v>3</v>
      </c>
      <c r="L108" s="377">
        <v>1</v>
      </c>
    </row>
    <row r="109" spans="1:12" x14ac:dyDescent="0.25">
      <c r="A109" t="s">
        <v>1122</v>
      </c>
      <c r="B109" t="s">
        <v>95</v>
      </c>
      <c r="C109" t="s">
        <v>1644</v>
      </c>
      <c r="D109">
        <v>2022</v>
      </c>
      <c r="E109" t="s">
        <v>104</v>
      </c>
      <c r="F109" s="377">
        <f>'Background Data'!$BB$32</f>
        <v>30</v>
      </c>
      <c r="G109" s="52" t="s">
        <v>1787</v>
      </c>
      <c r="H109" s="377">
        <v>3</v>
      </c>
      <c r="I109" s="377">
        <v>1</v>
      </c>
      <c r="J109" s="377">
        <v>1</v>
      </c>
      <c r="K109" s="377">
        <v>3</v>
      </c>
      <c r="L109" s="377">
        <v>1</v>
      </c>
    </row>
    <row r="110" spans="1:12" x14ac:dyDescent="0.25">
      <c r="A110" t="s">
        <v>1123</v>
      </c>
      <c r="B110" t="s">
        <v>95</v>
      </c>
      <c r="C110" t="s">
        <v>1644</v>
      </c>
      <c r="D110">
        <v>2022</v>
      </c>
      <c r="E110" t="s">
        <v>104</v>
      </c>
      <c r="F110" s="377">
        <f>'Background Data'!$BB$32</f>
        <v>30</v>
      </c>
      <c r="G110" s="52" t="s">
        <v>1787</v>
      </c>
      <c r="H110" s="377">
        <v>3</v>
      </c>
      <c r="I110" s="377">
        <v>1</v>
      </c>
      <c r="J110" s="377">
        <v>1</v>
      </c>
      <c r="K110" s="377">
        <v>3</v>
      </c>
      <c r="L110" s="377">
        <v>1</v>
      </c>
    </row>
    <row r="111" spans="1:12" x14ac:dyDescent="0.25">
      <c r="A111" t="s">
        <v>1124</v>
      </c>
      <c r="B111" t="s">
        <v>95</v>
      </c>
      <c r="C111" t="s">
        <v>1644</v>
      </c>
      <c r="D111">
        <v>2022</v>
      </c>
      <c r="E111" t="s">
        <v>104</v>
      </c>
      <c r="F111" s="377">
        <f>'Background Data'!$BB$32</f>
        <v>30</v>
      </c>
      <c r="G111" s="52" t="s">
        <v>1787</v>
      </c>
      <c r="H111" s="377">
        <v>3</v>
      </c>
      <c r="I111" s="377">
        <v>1</v>
      </c>
      <c r="J111" s="377">
        <v>1</v>
      </c>
      <c r="K111" s="377">
        <v>3</v>
      </c>
      <c r="L111" s="377">
        <v>1</v>
      </c>
    </row>
    <row r="112" spans="1:12" x14ac:dyDescent="0.25">
      <c r="A112" t="s">
        <v>1125</v>
      </c>
      <c r="B112" t="s">
        <v>95</v>
      </c>
      <c r="C112" t="s">
        <v>1644</v>
      </c>
      <c r="D112">
        <v>2022</v>
      </c>
      <c r="E112" t="s">
        <v>104</v>
      </c>
      <c r="F112" s="377">
        <f>'Background Data'!$BB$32</f>
        <v>30</v>
      </c>
      <c r="G112" s="52" t="s">
        <v>1787</v>
      </c>
      <c r="H112" s="377">
        <v>3</v>
      </c>
      <c r="I112" s="377">
        <v>1</v>
      </c>
      <c r="J112" s="377">
        <v>1</v>
      </c>
      <c r="K112" s="377">
        <v>3</v>
      </c>
      <c r="L112" s="377">
        <v>1</v>
      </c>
    </row>
    <row r="113" spans="1:19" x14ac:dyDescent="0.25">
      <c r="A113" t="s">
        <v>1130</v>
      </c>
      <c r="B113" t="s">
        <v>95</v>
      </c>
      <c r="C113" t="s">
        <v>1644</v>
      </c>
      <c r="D113">
        <v>2022</v>
      </c>
      <c r="E113" t="s">
        <v>104</v>
      </c>
      <c r="F113" s="377">
        <f>'Background Data'!$BB$32</f>
        <v>30</v>
      </c>
      <c r="G113" s="52" t="s">
        <v>1787</v>
      </c>
      <c r="H113" s="377">
        <v>3</v>
      </c>
      <c r="I113" s="377">
        <v>1</v>
      </c>
      <c r="J113" s="377">
        <v>1</v>
      </c>
      <c r="K113" s="377">
        <v>3</v>
      </c>
      <c r="L113" s="377">
        <v>1</v>
      </c>
    </row>
    <row r="114" spans="1:19" x14ac:dyDescent="0.25">
      <c r="A114" t="s">
        <v>1293</v>
      </c>
      <c r="B114" t="s">
        <v>95</v>
      </c>
      <c r="C114" t="s">
        <v>1644</v>
      </c>
      <c r="D114">
        <v>2022</v>
      </c>
      <c r="E114" t="s">
        <v>104</v>
      </c>
      <c r="F114" s="377">
        <f>'Background Data'!$BB$32</f>
        <v>30</v>
      </c>
      <c r="G114" s="52" t="s">
        <v>1787</v>
      </c>
      <c r="H114" s="377">
        <v>3</v>
      </c>
      <c r="I114" s="377">
        <v>1</v>
      </c>
      <c r="J114" s="377">
        <v>1</v>
      </c>
      <c r="K114" s="377">
        <v>3</v>
      </c>
      <c r="L114" s="377">
        <v>1</v>
      </c>
    </row>
    <row r="115" spans="1:19" x14ac:dyDescent="0.25">
      <c r="A115" t="s">
        <v>1294</v>
      </c>
      <c r="B115" t="s">
        <v>95</v>
      </c>
      <c r="C115" t="s">
        <v>1644</v>
      </c>
      <c r="D115">
        <v>2022</v>
      </c>
      <c r="E115" t="s">
        <v>104</v>
      </c>
      <c r="F115" s="377">
        <f>'Background Data'!$BB$32</f>
        <v>30</v>
      </c>
      <c r="G115" s="52" t="s">
        <v>1787</v>
      </c>
      <c r="H115" s="377">
        <v>3</v>
      </c>
      <c r="I115" s="377">
        <v>1</v>
      </c>
      <c r="J115" s="377">
        <v>1</v>
      </c>
      <c r="K115" s="377">
        <v>3</v>
      </c>
      <c r="L115" s="377">
        <v>1</v>
      </c>
    </row>
    <row r="116" spans="1:19" x14ac:dyDescent="0.25">
      <c r="A116" t="s">
        <v>1295</v>
      </c>
      <c r="B116" t="s">
        <v>95</v>
      </c>
      <c r="C116" t="s">
        <v>1644</v>
      </c>
      <c r="D116">
        <v>2022</v>
      </c>
      <c r="E116" t="s">
        <v>104</v>
      </c>
      <c r="F116" s="377">
        <f>'Background Data'!$BB$32</f>
        <v>30</v>
      </c>
      <c r="G116" s="52" t="s">
        <v>1787</v>
      </c>
      <c r="H116" s="377">
        <v>3</v>
      </c>
      <c r="I116" s="377">
        <v>1</v>
      </c>
      <c r="J116" s="377">
        <v>1</v>
      </c>
      <c r="K116" s="377">
        <v>3</v>
      </c>
      <c r="L116" s="377">
        <v>1</v>
      </c>
    </row>
    <row r="117" spans="1:19" x14ac:dyDescent="0.25">
      <c r="A117" t="s">
        <v>1766</v>
      </c>
      <c r="B117" t="s">
        <v>95</v>
      </c>
      <c r="C117" t="s">
        <v>1644</v>
      </c>
      <c r="D117">
        <v>2022</v>
      </c>
      <c r="E117" t="s">
        <v>104</v>
      </c>
      <c r="F117" s="377">
        <v>15</v>
      </c>
      <c r="G117" s="52" t="s">
        <v>1848</v>
      </c>
      <c r="H117" s="377">
        <v>3</v>
      </c>
      <c r="I117" s="377">
        <v>1</v>
      </c>
      <c r="J117" s="377">
        <v>1</v>
      </c>
      <c r="K117" s="377">
        <v>3</v>
      </c>
      <c r="L117" s="377">
        <v>1</v>
      </c>
    </row>
    <row r="118" spans="1:19" x14ac:dyDescent="0.25">
      <c r="A118" t="s">
        <v>4768</v>
      </c>
      <c r="B118" t="s">
        <v>95</v>
      </c>
      <c r="C118" t="s">
        <v>1644</v>
      </c>
      <c r="D118">
        <v>2022</v>
      </c>
      <c r="E118" t="s">
        <v>104</v>
      </c>
      <c r="F118" s="377">
        <v>15</v>
      </c>
      <c r="G118" s="52" t="s">
        <v>1848</v>
      </c>
      <c r="H118" s="377">
        <v>3</v>
      </c>
      <c r="I118" s="377">
        <v>1</v>
      </c>
      <c r="J118" s="377">
        <v>1</v>
      </c>
      <c r="K118" s="377">
        <v>3</v>
      </c>
      <c r="L118" s="377">
        <v>1</v>
      </c>
    </row>
    <row r="119" spans="1:19" x14ac:dyDescent="0.25">
      <c r="A119" t="s">
        <v>4769</v>
      </c>
      <c r="B119" t="s">
        <v>95</v>
      </c>
      <c r="C119" t="s">
        <v>1644</v>
      </c>
      <c r="D119">
        <v>2022</v>
      </c>
      <c r="E119" t="s">
        <v>104</v>
      </c>
      <c r="F119" s="377">
        <v>15</v>
      </c>
      <c r="G119" s="52" t="s">
        <v>1848</v>
      </c>
      <c r="H119" s="377">
        <v>3</v>
      </c>
      <c r="I119" s="377">
        <v>1</v>
      </c>
      <c r="J119" s="377">
        <v>1</v>
      </c>
      <c r="K119" s="377">
        <v>3</v>
      </c>
      <c r="L119" s="377">
        <v>1</v>
      </c>
    </row>
    <row r="120" spans="1:19" x14ac:dyDescent="0.25">
      <c r="A120" t="s">
        <v>1825</v>
      </c>
      <c r="B120" t="s">
        <v>95</v>
      </c>
      <c r="C120" t="s">
        <v>1644</v>
      </c>
      <c r="D120">
        <v>2022</v>
      </c>
      <c r="E120" t="s">
        <v>104</v>
      </c>
      <c r="F120" s="377">
        <v>15</v>
      </c>
      <c r="G120" s="52" t="s">
        <v>1848</v>
      </c>
      <c r="H120" s="377">
        <v>3</v>
      </c>
      <c r="I120" s="377">
        <v>1</v>
      </c>
      <c r="J120" s="377">
        <v>1</v>
      </c>
      <c r="K120" s="377">
        <v>3</v>
      </c>
      <c r="L120" s="377">
        <v>1</v>
      </c>
      <c r="S120" t="s">
        <v>4736</v>
      </c>
    </row>
    <row r="121" spans="1:19" x14ac:dyDescent="0.25">
      <c r="A121" t="s">
        <v>1821</v>
      </c>
      <c r="B121" t="s">
        <v>95</v>
      </c>
      <c r="C121" t="s">
        <v>1644</v>
      </c>
      <c r="D121">
        <v>2022</v>
      </c>
      <c r="E121" t="s">
        <v>104</v>
      </c>
      <c r="F121" s="377">
        <v>15</v>
      </c>
      <c r="G121" s="52" t="s">
        <v>1848</v>
      </c>
      <c r="H121" s="377">
        <v>3</v>
      </c>
      <c r="I121" s="377">
        <v>1</v>
      </c>
      <c r="J121" s="377">
        <v>1</v>
      </c>
      <c r="K121" s="377">
        <v>3</v>
      </c>
      <c r="L121" s="377">
        <v>1</v>
      </c>
      <c r="Q121">
        <v>2.4641560184944001E-2</v>
      </c>
      <c r="R121">
        <f>AVERAGE(Q121:Q132)</f>
        <v>0.21378102810571795</v>
      </c>
      <c r="S121">
        <f>R121*8760</f>
        <v>1872.7218062060892</v>
      </c>
    </row>
    <row r="122" spans="1:19" x14ac:dyDescent="0.25">
      <c r="A122" t="s">
        <v>1870</v>
      </c>
      <c r="B122" t="s">
        <v>95</v>
      </c>
      <c r="C122" t="s">
        <v>1898</v>
      </c>
      <c r="D122">
        <v>2022</v>
      </c>
      <c r="E122" t="s">
        <v>104</v>
      </c>
      <c r="F122" s="377">
        <v>10</v>
      </c>
      <c r="G122" s="52" t="s">
        <v>1899</v>
      </c>
      <c r="H122" s="377">
        <v>2</v>
      </c>
      <c r="I122" s="377">
        <v>1</v>
      </c>
      <c r="J122" s="377">
        <v>1</v>
      </c>
      <c r="K122" s="377">
        <v>3</v>
      </c>
      <c r="L122" s="377">
        <v>1</v>
      </c>
      <c r="Q122">
        <v>5.8167636513398201E-2</v>
      </c>
    </row>
    <row r="123" spans="1:19" x14ac:dyDescent="0.25">
      <c r="A123" t="s">
        <v>1871</v>
      </c>
      <c r="B123" t="s">
        <v>95</v>
      </c>
      <c r="C123" t="s">
        <v>1898</v>
      </c>
      <c r="D123">
        <v>2022</v>
      </c>
      <c r="E123" t="s">
        <v>104</v>
      </c>
      <c r="F123" s="377">
        <v>10</v>
      </c>
      <c r="G123" s="52" t="s">
        <v>1900</v>
      </c>
      <c r="H123" s="377">
        <v>2</v>
      </c>
      <c r="I123" s="377">
        <v>1</v>
      </c>
      <c r="J123" s="377">
        <v>1</v>
      </c>
      <c r="K123" s="377">
        <v>3</v>
      </c>
      <c r="L123" s="377">
        <v>1</v>
      </c>
      <c r="Q123">
        <v>0.17535954450095301</v>
      </c>
    </row>
    <row r="124" spans="1:19" x14ac:dyDescent="0.25">
      <c r="A124" t="s">
        <v>1872</v>
      </c>
      <c r="B124" t="s">
        <v>95</v>
      </c>
      <c r="C124" t="s">
        <v>1898</v>
      </c>
      <c r="D124">
        <v>2022</v>
      </c>
      <c r="E124" t="s">
        <v>104</v>
      </c>
      <c r="F124" s="377">
        <v>10</v>
      </c>
      <c r="G124" s="52" t="s">
        <v>1900</v>
      </c>
      <c r="H124" s="377">
        <v>2</v>
      </c>
      <c r="I124" s="377">
        <v>1</v>
      </c>
      <c r="J124" s="377">
        <v>1</v>
      </c>
      <c r="K124" s="377">
        <v>3</v>
      </c>
      <c r="L124" s="377">
        <v>1</v>
      </c>
      <c r="Q124">
        <v>0.30018338920215798</v>
      </c>
    </row>
    <row r="125" spans="1:19" x14ac:dyDescent="0.25">
      <c r="A125" t="s">
        <v>1869</v>
      </c>
      <c r="B125" t="s">
        <v>95</v>
      </c>
      <c r="C125" t="s">
        <v>2896</v>
      </c>
      <c r="D125">
        <v>2022</v>
      </c>
      <c r="E125" t="s">
        <v>104</v>
      </c>
      <c r="F125" s="377">
        <v>15</v>
      </c>
      <c r="G125" s="52" t="s">
        <v>1848</v>
      </c>
      <c r="H125" s="377">
        <v>3</v>
      </c>
      <c r="I125" s="377">
        <v>1</v>
      </c>
      <c r="J125" s="377">
        <v>1</v>
      </c>
      <c r="K125" s="377">
        <v>3</v>
      </c>
      <c r="L125" s="377">
        <v>1</v>
      </c>
      <c r="Q125">
        <v>0.34672795831672298</v>
      </c>
    </row>
    <row r="126" spans="1:19" x14ac:dyDescent="0.25">
      <c r="A126" t="s">
        <v>2882</v>
      </c>
      <c r="B126" t="s">
        <v>95</v>
      </c>
      <c r="C126" t="s">
        <v>2896</v>
      </c>
      <c r="D126">
        <v>2022</v>
      </c>
      <c r="E126" t="s">
        <v>104</v>
      </c>
      <c r="F126" s="377">
        <v>15</v>
      </c>
      <c r="G126" s="52" t="s">
        <v>1848</v>
      </c>
      <c r="H126" s="377">
        <v>3</v>
      </c>
      <c r="I126" s="377">
        <v>1</v>
      </c>
      <c r="J126" s="377">
        <v>1</v>
      </c>
      <c r="K126" s="377">
        <v>3</v>
      </c>
      <c r="L126" s="377">
        <v>1</v>
      </c>
      <c r="Q126">
        <v>0.30349143234689302</v>
      </c>
    </row>
    <row r="127" spans="1:19" x14ac:dyDescent="0.25">
      <c r="A127" t="s">
        <v>2886</v>
      </c>
      <c r="B127" t="s">
        <v>95</v>
      </c>
      <c r="C127" t="s">
        <v>2896</v>
      </c>
      <c r="D127">
        <v>2022</v>
      </c>
      <c r="E127" t="s">
        <v>104</v>
      </c>
      <c r="F127" s="377">
        <v>25</v>
      </c>
      <c r="G127" s="52" t="s">
        <v>1848</v>
      </c>
      <c r="H127" s="377">
        <v>3</v>
      </c>
      <c r="I127" s="377">
        <v>1</v>
      </c>
      <c r="J127" s="377">
        <v>1</v>
      </c>
      <c r="K127" s="377">
        <v>3</v>
      </c>
      <c r="L127" s="377">
        <v>1</v>
      </c>
      <c r="Q127">
        <v>0.27159668597954101</v>
      </c>
    </row>
    <row r="128" spans="1:19" x14ac:dyDescent="0.25">
      <c r="A128" t="s">
        <v>4689</v>
      </c>
      <c r="B128" t="s">
        <v>95</v>
      </c>
      <c r="C128" t="s">
        <v>2896</v>
      </c>
      <c r="D128">
        <v>2022</v>
      </c>
      <c r="E128" t="s">
        <v>104</v>
      </c>
      <c r="F128" s="377">
        <v>20</v>
      </c>
      <c r="G128" s="52" t="s">
        <v>4735</v>
      </c>
      <c r="H128" s="377">
        <v>3</v>
      </c>
      <c r="I128" s="377">
        <v>1</v>
      </c>
      <c r="J128" s="377">
        <v>1</v>
      </c>
      <c r="K128" s="377">
        <v>3</v>
      </c>
      <c r="L128" s="377">
        <v>1</v>
      </c>
      <c r="Q128">
        <v>0.314801710082316</v>
      </c>
    </row>
    <row r="129" spans="1:19" x14ac:dyDescent="0.25">
      <c r="A129" t="s">
        <v>4690</v>
      </c>
      <c r="B129" t="s">
        <v>95</v>
      </c>
      <c r="C129" t="s">
        <v>2896</v>
      </c>
      <c r="D129">
        <v>2022</v>
      </c>
      <c r="E129" t="s">
        <v>104</v>
      </c>
      <c r="F129" s="377">
        <v>20</v>
      </c>
      <c r="G129" s="52" t="s">
        <v>4735</v>
      </c>
      <c r="H129" s="377">
        <v>3</v>
      </c>
      <c r="I129" s="377">
        <v>1</v>
      </c>
      <c r="J129" s="377">
        <v>1</v>
      </c>
      <c r="K129" s="377">
        <v>3</v>
      </c>
      <c r="L129" s="377">
        <v>1</v>
      </c>
      <c r="Q129">
        <v>0.140015220709855</v>
      </c>
    </row>
    <row r="130" spans="1:19" x14ac:dyDescent="0.25">
      <c r="A130" t="s">
        <v>2884</v>
      </c>
      <c r="B130" t="s">
        <v>95</v>
      </c>
      <c r="C130" t="s">
        <v>4634</v>
      </c>
      <c r="D130">
        <v>2024</v>
      </c>
      <c r="E130" t="s">
        <v>104</v>
      </c>
      <c r="F130" s="377">
        <v>25</v>
      </c>
      <c r="G130" s="52" t="s">
        <v>4637</v>
      </c>
      <c r="H130" s="377">
        <v>2</v>
      </c>
      <c r="I130" s="377">
        <v>1</v>
      </c>
      <c r="J130" s="377">
        <v>1</v>
      </c>
      <c r="K130" s="377">
        <v>3</v>
      </c>
      <c r="L130" s="377">
        <v>1</v>
      </c>
      <c r="Q130">
        <v>0.239407547909257</v>
      </c>
    </row>
    <row r="131" spans="1:19" x14ac:dyDescent="0.25">
      <c r="A131" t="s">
        <v>4693</v>
      </c>
      <c r="B131" t="s">
        <v>95</v>
      </c>
      <c r="C131" t="s">
        <v>4634</v>
      </c>
      <c r="D131">
        <v>2024</v>
      </c>
      <c r="E131" t="s">
        <v>104</v>
      </c>
      <c r="F131" s="377">
        <v>25</v>
      </c>
      <c r="G131" s="52" t="s">
        <v>4637</v>
      </c>
      <c r="H131" s="377">
        <v>2</v>
      </c>
      <c r="I131" s="377">
        <v>1</v>
      </c>
      <c r="J131" s="377">
        <v>1</v>
      </c>
      <c r="K131" s="377">
        <v>3</v>
      </c>
      <c r="L131" s="377">
        <v>1</v>
      </c>
      <c r="Q131">
        <v>0.24326886096041</v>
      </c>
    </row>
    <row r="132" spans="1:19" x14ac:dyDescent="0.25">
      <c r="A132" t="s">
        <v>2902</v>
      </c>
      <c r="B132" t="s">
        <v>95</v>
      </c>
      <c r="C132" t="s">
        <v>1644</v>
      </c>
      <c r="D132">
        <v>2022</v>
      </c>
      <c r="E132" t="s">
        <v>104</v>
      </c>
      <c r="F132" s="377">
        <v>30</v>
      </c>
      <c r="G132" s="52" t="s">
        <v>1848</v>
      </c>
      <c r="H132" s="377">
        <v>3</v>
      </c>
      <c r="I132" s="377">
        <v>1</v>
      </c>
      <c r="J132" s="377">
        <v>1</v>
      </c>
      <c r="K132" s="377">
        <v>3</v>
      </c>
      <c r="L132" s="377">
        <v>1</v>
      </c>
      <c r="Q132">
        <v>0.14771079056216699</v>
      </c>
    </row>
    <row r="133" spans="1:19" x14ac:dyDescent="0.25">
      <c r="S133" t="s">
        <v>4737</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zoomScaleNormal="100" workbookViewId="0">
      <pane xSplit="1" ySplit="2" topLeftCell="CC27" activePane="bottomRight" state="frozen"/>
      <selection pane="topRight" activeCell="B1" sqref="B1"/>
      <selection pane="bottomLeft" activeCell="A3" sqref="A3"/>
      <selection pane="bottomRight" activeCell="CR58" sqref="CR58"/>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7"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3" t="s">
        <v>4259</v>
      </c>
      <c r="B1" s="1"/>
      <c r="C1" s="1"/>
      <c r="D1" s="1"/>
      <c r="E1" s="1"/>
      <c r="F1" s="1"/>
      <c r="G1" s="109"/>
      <c r="H1" s="1059" t="s">
        <v>1002</v>
      </c>
      <c r="I1" s="1059"/>
      <c r="J1" s="1059"/>
      <c r="K1" s="1059"/>
      <c r="L1" s="1059"/>
      <c r="M1" s="1059"/>
      <c r="N1" s="1059"/>
      <c r="O1" s="1059"/>
      <c r="P1" s="1059"/>
      <c r="Q1" s="1059"/>
      <c r="R1" s="1059"/>
      <c r="S1" s="1059"/>
      <c r="T1" s="1059"/>
      <c r="U1" s="1059"/>
      <c r="V1" s="1059"/>
      <c r="W1" s="1059"/>
      <c r="X1" s="1059"/>
      <c r="Y1" s="1059"/>
      <c r="Z1" s="1059"/>
      <c r="AA1" s="1059"/>
      <c r="AB1" s="1059"/>
      <c r="AC1" s="1058" t="s">
        <v>1003</v>
      </c>
      <c r="AD1" s="1059"/>
      <c r="AE1" s="1059"/>
      <c r="AF1" s="1059"/>
      <c r="AG1" s="1059"/>
      <c r="AH1" s="1059"/>
      <c r="AI1" s="1060"/>
      <c r="AJ1" s="1042" t="s">
        <v>4469</v>
      </c>
      <c r="AK1" s="53"/>
      <c r="AL1" s="1039" t="s">
        <v>147</v>
      </c>
      <c r="AM1" s="1039"/>
      <c r="AN1" s="1039"/>
      <c r="AO1" s="1039"/>
      <c r="AP1" s="1039"/>
      <c r="AQ1" s="1044" t="s">
        <v>2640</v>
      </c>
      <c r="AS1" s="1044" t="s">
        <v>2641</v>
      </c>
      <c r="AT1" s="1093" t="s">
        <v>2135</v>
      </c>
      <c r="AU1" s="1094"/>
      <c r="AV1" s="1094"/>
      <c r="AW1" s="1094"/>
      <c r="AX1" s="1094"/>
      <c r="AY1" s="1095"/>
      <c r="EC1" s="1093" t="s">
        <v>2140</v>
      </c>
      <c r="ED1" s="1094"/>
      <c r="EE1" s="1094"/>
      <c r="EF1" s="1094"/>
      <c r="EG1" s="1094"/>
      <c r="EH1" s="1094"/>
      <c r="EI1" s="1094"/>
      <c r="EJ1" s="1094"/>
      <c r="EK1" s="1094"/>
      <c r="EL1" s="1094"/>
      <c r="EM1" s="1094"/>
      <c r="EN1" s="1094"/>
      <c r="EO1" s="1094"/>
      <c r="EP1" s="1094"/>
      <c r="EQ1" s="1094"/>
      <c r="ER1" s="1094"/>
      <c r="ES1" s="1094"/>
      <c r="ET1" s="1094"/>
      <c r="EU1" s="1095"/>
    </row>
    <row r="2" spans="1:151" s="106" customFormat="1" ht="107.25" thickBot="1" x14ac:dyDescent="0.3">
      <c r="A2" s="724" t="s">
        <v>92</v>
      </c>
      <c r="B2" s="724" t="s">
        <v>282</v>
      </c>
      <c r="C2" s="724" t="s">
        <v>283</v>
      </c>
      <c r="D2" s="724" t="s">
        <v>93</v>
      </c>
      <c r="E2" s="724" t="s">
        <v>179</v>
      </c>
      <c r="F2" s="724" t="s">
        <v>143</v>
      </c>
      <c r="G2" s="725" t="s">
        <v>94</v>
      </c>
      <c r="H2" s="724">
        <v>2000</v>
      </c>
      <c r="I2" s="724">
        <v>2001</v>
      </c>
      <c r="J2" s="724">
        <v>2002</v>
      </c>
      <c r="K2" s="724">
        <v>2003</v>
      </c>
      <c r="L2" s="724">
        <v>2004</v>
      </c>
      <c r="M2" s="724">
        <v>2005</v>
      </c>
      <c r="N2" s="724">
        <v>2006</v>
      </c>
      <c r="O2" s="724">
        <v>2007</v>
      </c>
      <c r="P2" s="724">
        <v>2008</v>
      </c>
      <c r="Q2" s="724">
        <v>2009</v>
      </c>
      <c r="R2" s="724">
        <v>2010</v>
      </c>
      <c r="S2" s="724">
        <v>2011</v>
      </c>
      <c r="T2" s="724">
        <v>2012</v>
      </c>
      <c r="U2" s="724">
        <v>2013</v>
      </c>
      <c r="V2" s="724">
        <v>2014</v>
      </c>
      <c r="W2" s="724">
        <v>2015</v>
      </c>
      <c r="X2" s="724">
        <v>2016</v>
      </c>
      <c r="Y2" s="724">
        <v>2017</v>
      </c>
      <c r="Z2" s="724">
        <v>2018</v>
      </c>
      <c r="AA2" s="724">
        <v>2019</v>
      </c>
      <c r="AB2" s="724">
        <v>2020</v>
      </c>
      <c r="AC2" s="726">
        <v>2021</v>
      </c>
      <c r="AD2" s="724">
        <v>2025</v>
      </c>
      <c r="AE2" s="724">
        <v>2030</v>
      </c>
      <c r="AF2" s="724">
        <v>2035</v>
      </c>
      <c r="AG2" s="724">
        <v>2040</v>
      </c>
      <c r="AH2" s="724">
        <v>2045</v>
      </c>
      <c r="AI2" s="724">
        <v>2050</v>
      </c>
      <c r="AJ2" s="1043"/>
      <c r="AK2" s="733" t="s">
        <v>91</v>
      </c>
      <c r="AL2" s="722" t="s">
        <v>148</v>
      </c>
      <c r="AM2" s="722" t="s">
        <v>152</v>
      </c>
      <c r="AN2" s="722" t="s">
        <v>149</v>
      </c>
      <c r="AO2" s="722" t="s">
        <v>150</v>
      </c>
      <c r="AP2" s="722" t="s">
        <v>151</v>
      </c>
      <c r="AQ2" s="1044"/>
      <c r="AR2" s="735"/>
      <c r="AS2" s="1044"/>
      <c r="AT2" s="1077" t="s">
        <v>1946</v>
      </c>
      <c r="AU2" s="1078"/>
      <c r="AV2" s="1078"/>
      <c r="AW2" s="1078"/>
      <c r="AX2" s="1078"/>
      <c r="AY2" s="1079"/>
      <c r="BA2" s="1074" t="s">
        <v>3048</v>
      </c>
      <c r="BB2" s="1074"/>
      <c r="BC2" s="1074"/>
      <c r="BD2" s="1074"/>
      <c r="BE2" s="1074"/>
      <c r="BF2" s="1074"/>
      <c r="BG2" s="1074"/>
      <c r="BH2" s="1074"/>
      <c r="BI2" s="1074"/>
      <c r="BJ2" s="736"/>
      <c r="BL2" s="1074" t="s">
        <v>1925</v>
      </c>
      <c r="BM2" s="1074"/>
      <c r="BN2" s="1074"/>
      <c r="BO2" s="1074"/>
      <c r="BP2" s="1074"/>
      <c r="BQ2" s="1074"/>
      <c r="BR2" s="1074"/>
      <c r="BS2" s="1074"/>
      <c r="BT2" s="1074"/>
      <c r="BU2" s="736"/>
      <c r="BY2" s="736"/>
      <c r="BZ2" s="736"/>
      <c r="CA2" s="736"/>
      <c r="CB2" s="736"/>
      <c r="CC2" s="736"/>
      <c r="CD2" s="736"/>
      <c r="CE2" s="736"/>
      <c r="CF2" s="736"/>
      <c r="CG2" s="1074" t="s">
        <v>3050</v>
      </c>
      <c r="CH2" s="1074"/>
      <c r="CI2" s="1074"/>
      <c r="CJ2" s="1074"/>
      <c r="CK2" s="1074"/>
      <c r="CL2" s="1074"/>
      <c r="CM2" s="1074"/>
      <c r="CN2" s="1074"/>
      <c r="CO2" s="736"/>
      <c r="CP2" s="736"/>
      <c r="CQ2" s="1074" t="s">
        <v>1929</v>
      </c>
      <c r="CR2" s="1074"/>
      <c r="CS2" s="1074"/>
      <c r="CT2" s="1074"/>
      <c r="CU2" s="1074"/>
      <c r="CV2" s="1074"/>
      <c r="CW2" s="1074"/>
      <c r="CX2" s="1074"/>
      <c r="DA2" s="1074" t="s">
        <v>1925</v>
      </c>
      <c r="DB2" s="1074"/>
      <c r="DC2" s="1074"/>
      <c r="DD2" s="1074"/>
      <c r="DE2" s="1074"/>
      <c r="DF2" s="1074"/>
      <c r="DG2" s="1074"/>
      <c r="DH2" s="1074"/>
      <c r="DJ2" s="1074" t="s">
        <v>948</v>
      </c>
      <c r="DK2" s="1074"/>
      <c r="DL2" s="1074"/>
      <c r="DM2" s="1074"/>
      <c r="DN2" s="1074"/>
      <c r="DO2" s="1074"/>
      <c r="DP2" s="1074"/>
      <c r="DQ2" s="1074"/>
      <c r="DR2" s="736"/>
      <c r="EC2" s="1111" t="s">
        <v>1025</v>
      </c>
      <c r="ED2" s="1074"/>
      <c r="EE2" s="1074"/>
      <c r="EF2" s="1074"/>
      <c r="EG2" s="1074"/>
      <c r="EH2" s="1074"/>
      <c r="EI2" s="1074"/>
      <c r="EJ2" s="1074"/>
      <c r="EM2" s="1074" t="s">
        <v>1046</v>
      </c>
      <c r="EN2" s="1074"/>
      <c r="EO2" s="1074"/>
      <c r="EP2" s="1074"/>
      <c r="EQ2" s="1074"/>
      <c r="ER2" s="1074"/>
      <c r="ES2" s="1074"/>
      <c r="ET2" s="1074"/>
      <c r="EU2" s="737"/>
    </row>
    <row r="3" spans="1:151" ht="16.5" thickTop="1" thickBot="1" x14ac:dyDescent="0.3">
      <c r="A3" t="s">
        <v>4432</v>
      </c>
      <c r="B3" t="s">
        <v>2053</v>
      </c>
      <c r="C3" t="s">
        <v>2038</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1964</v>
      </c>
      <c r="AL3" s="377">
        <v>2</v>
      </c>
      <c r="AM3" s="377">
        <v>1</v>
      </c>
      <c r="AN3" s="377">
        <v>1</v>
      </c>
      <c r="AO3" s="377">
        <v>1</v>
      </c>
      <c r="AP3" s="377">
        <v>1</v>
      </c>
      <c r="AQ3" s="1044"/>
      <c r="AS3" s="1044"/>
      <c r="AT3" s="232" t="s">
        <v>246</v>
      </c>
      <c r="AU3" s="83" t="s">
        <v>517</v>
      </c>
      <c r="AV3" s="83" t="s">
        <v>518</v>
      </c>
      <c r="AW3" s="88">
        <v>2018</v>
      </c>
      <c r="AX3" s="88">
        <v>2020</v>
      </c>
      <c r="AY3" s="378">
        <v>2023</v>
      </c>
      <c r="BA3" s="88" t="s">
        <v>246</v>
      </c>
      <c r="BB3" s="112">
        <v>2020</v>
      </c>
      <c r="BC3" s="88">
        <v>2023</v>
      </c>
      <c r="BD3" s="88">
        <v>2025</v>
      </c>
      <c r="BE3" s="88">
        <v>2030</v>
      </c>
      <c r="BF3" s="88">
        <v>2035</v>
      </c>
      <c r="BG3" s="83" t="s">
        <v>922</v>
      </c>
      <c r="BH3" s="83" t="s">
        <v>923</v>
      </c>
      <c r="BI3" s="88">
        <v>2050</v>
      </c>
      <c r="BJ3" s="28" t="s">
        <v>3049</v>
      </c>
      <c r="BL3" s="88" t="s">
        <v>246</v>
      </c>
      <c r="BM3" s="112">
        <v>2020</v>
      </c>
      <c r="BN3" s="88">
        <v>2023</v>
      </c>
      <c r="BO3" s="88">
        <v>2025</v>
      </c>
      <c r="BP3" s="88">
        <v>2030</v>
      </c>
      <c r="BQ3" s="88">
        <v>2035</v>
      </c>
      <c r="BR3" s="83" t="s">
        <v>922</v>
      </c>
      <c r="BS3" s="83" t="s">
        <v>923</v>
      </c>
      <c r="BT3" s="88">
        <v>2050</v>
      </c>
      <c r="BU3" s="28" t="s">
        <v>3049</v>
      </c>
      <c r="CG3" s="88" t="s">
        <v>246</v>
      </c>
      <c r="CH3" s="88">
        <v>2023</v>
      </c>
      <c r="CI3" s="88">
        <v>2025</v>
      </c>
      <c r="CJ3" s="88">
        <v>2030</v>
      </c>
      <c r="CK3" s="88">
        <v>2035</v>
      </c>
      <c r="CL3" s="83" t="s">
        <v>922</v>
      </c>
      <c r="CM3" s="83" t="s">
        <v>923</v>
      </c>
      <c r="CN3" s="88">
        <v>2050</v>
      </c>
      <c r="CO3" s="28" t="s">
        <v>3049</v>
      </c>
      <c r="CQ3" s="88" t="s">
        <v>246</v>
      </c>
      <c r="CR3" s="88">
        <v>2023</v>
      </c>
      <c r="CS3" s="88">
        <v>2025</v>
      </c>
      <c r="CT3" s="88">
        <v>2030</v>
      </c>
      <c r="CU3" s="88">
        <v>2035</v>
      </c>
      <c r="CV3" s="83" t="s">
        <v>922</v>
      </c>
      <c r="CW3" s="83" t="s">
        <v>923</v>
      </c>
      <c r="CX3" s="88">
        <v>2050</v>
      </c>
      <c r="CY3" s="28" t="s">
        <v>3049</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4433</v>
      </c>
      <c r="B4" t="s">
        <v>2054</v>
      </c>
      <c r="C4" t="s">
        <v>2038</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1964</v>
      </c>
      <c r="AL4" s="377">
        <v>2</v>
      </c>
      <c r="AM4" s="377">
        <v>1</v>
      </c>
      <c r="AN4" s="377">
        <v>1</v>
      </c>
      <c r="AO4" s="377">
        <v>1</v>
      </c>
      <c r="AP4" s="377">
        <v>1</v>
      </c>
      <c r="AQ4" s="1044"/>
      <c r="AS4" s="1044"/>
      <c r="AT4" s="379" t="s">
        <v>17</v>
      </c>
      <c r="AU4" s="73"/>
      <c r="AV4" s="73"/>
      <c r="AW4" s="73"/>
      <c r="AX4" s="73"/>
      <c r="AY4" s="380"/>
      <c r="BA4" s="28" t="s">
        <v>3029</v>
      </c>
      <c r="BB4" s="799"/>
      <c r="BL4" s="28" t="s">
        <v>17</v>
      </c>
      <c r="BM4" s="799"/>
      <c r="CG4" s="28" t="s">
        <v>3992</v>
      </c>
      <c r="CQ4" s="28" t="s">
        <v>4006</v>
      </c>
      <c r="DA4" s="28" t="s">
        <v>4006</v>
      </c>
      <c r="DJ4" s="28" t="s">
        <v>260</v>
      </c>
      <c r="EC4" s="379" t="s">
        <v>1026</v>
      </c>
      <c r="EM4" s="249" t="s">
        <v>1048</v>
      </c>
      <c r="EU4" s="63"/>
    </row>
    <row r="5" spans="1:151" x14ac:dyDescent="0.25">
      <c r="A5" t="s">
        <v>4434</v>
      </c>
      <c r="B5" t="s">
        <v>4772</v>
      </c>
      <c r="C5" t="s">
        <v>4761</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1965</v>
      </c>
      <c r="AL5" s="377">
        <v>2</v>
      </c>
      <c r="AM5" s="377">
        <v>1</v>
      </c>
      <c r="AN5" s="377">
        <v>1</v>
      </c>
      <c r="AO5" s="377">
        <v>2</v>
      </c>
      <c r="AP5" s="377">
        <v>1</v>
      </c>
      <c r="AQ5" s="1044"/>
      <c r="AS5" s="1044"/>
      <c r="AT5" s="381"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7" cm="1">
        <f t="array" ref="AX5">SUMPRODUCT(_xlfn._xlws.FILTER('NRCan Fuel Guide'!$U$4:$U$13, 'NRCan Fuel Guide'!$T$4:$T$13=$AT5), _xlfn._xlws.FILTER('NRCan Fuel Guide'!$W$4:$W$13, 'NRCan Fuel Guide'!$T$4:$T$13=$AT5))/SUM(_xlfn._xlws.FILTER('NRCan Fuel Guide'!$W$4:$W$13, 'NRCan Fuel Guide'!$T$4:$T$13=$AT5))</f>
        <v>9.3487209645686846</v>
      </c>
      <c r="AY5" s="380"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2"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LDV'!$AM:$AM, ('Autonomie 2023 LDV'!$A:$A=$BA5)*('Autonomie 2023 LDV'!$B:$B=BI$3)*('Autonomie 2023 LDV'!$D:$D="Compact")))</f>
        <v>0.53881293925805063</v>
      </c>
      <c r="BJ5" s="85">
        <f t="shared" ref="BJ5:BJ15" si="2">(BI5-BC5)/BC5</f>
        <v>0.47500109723672007</v>
      </c>
      <c r="BL5" s="17" t="s">
        <v>890</v>
      </c>
      <c r="BM5" s="113">
        <f t="shared" ref="BM5" si="3">1/(BM34*GSL_PJ_ML*10)</f>
        <v>8.272932768160036</v>
      </c>
      <c r="BN5" s="797">
        <f>1/(BN34*GSL_PJ_ML*10)</f>
        <v>8.5582954935460247</v>
      </c>
      <c r="BO5" s="73">
        <f t="shared" ref="BN5:BT15" si="4">1/(BO34*GSL_PJ_ML*10)</f>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5">
        <f t="shared" ref="CL5:CM8" si="6">($CN5-$CK5)/3 + CK5</f>
        <v>0.26453056115853024</v>
      </c>
      <c r="CM5" s="355">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6"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7"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8">
        <f>(ET5-EN5)/EN5</f>
        <v>-0.42613636363636365</v>
      </c>
    </row>
    <row r="6" spans="1:151" x14ac:dyDescent="0.25">
      <c r="A6" t="s">
        <v>4435</v>
      </c>
      <c r="B6" t="s">
        <v>2053</v>
      </c>
      <c r="C6" t="s">
        <v>2038</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1964</v>
      </c>
      <c r="AL6" s="377">
        <v>2</v>
      </c>
      <c r="AM6" s="377">
        <v>1</v>
      </c>
      <c r="AN6" s="377">
        <v>1</v>
      </c>
      <c r="AO6" s="377">
        <v>2</v>
      </c>
      <c r="AP6" s="377">
        <v>1</v>
      </c>
      <c r="AQ6" s="1044"/>
      <c r="AS6" s="1044"/>
      <c r="AT6" s="381"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7" cm="1">
        <f t="array" ref="AW6">SUMPRODUCT(_xlfn._xlws.FILTER('NRCan Fuel Guide'!$O$4:$O$17, 'NRCan Fuel Guide'!$N$4:$N$17=$AT6),_xlfn._xlws.FILTER('NRCan Fuel Guide'!$Q$4:$Q$17, 'NRCan Fuel Guide'!$N$4:$N$17=$AT6))/SUM(_xlfn._xlws.FILTER('NRCan Fuel Guide'!$Q$4:$Q$17, 'NRCan Fuel Guide'!$N$4:$N$17=$AT6))</f>
        <v>6.7044159176045444</v>
      </c>
      <c r="AX6" s="73"/>
      <c r="AY6" s="380"/>
      <c r="BA6" s="17" t="s">
        <v>887</v>
      </c>
      <c r="BB6" s="782"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1"/>
        <v>0.58391629261700029</v>
      </c>
      <c r="BH6" s="60">
        <f t="shared" si="1"/>
        <v>0.60727751010096598</v>
      </c>
      <c r="BI6" s="60" cm="1">
        <f t="array" ref="BI6">1/AVERAGE(_xlfn._xlws.FILTER('Autonomie 2023 LDV'!$AM:$AM, ('Autonomie 2023 LDV'!$A:$A=$BA6)*('Autonomie 2023 LDV'!$B:$B=BI$3)*('Autonomie 2023 LDV'!$D:$D="Compact")))</f>
        <v>0.63063872758493178</v>
      </c>
      <c r="BJ6" s="85">
        <f t="shared" si="2"/>
        <v>0.34806178044406372</v>
      </c>
      <c r="BL6" s="17" t="s">
        <v>887</v>
      </c>
      <c r="BM6" s="113">
        <f t="shared" ref="BM6" si="13">1/(BM35*GSL_PJ_ML*10)</f>
        <v>6.6844191233666299</v>
      </c>
      <c r="BN6" s="797">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3979</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5">
        <f t="shared" si="6"/>
        <v>0.21055502183854632</v>
      </c>
      <c r="CM6" s="355">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4007</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4007</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1"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7"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8">
        <f t="shared" ref="EU6:EU31" si="17">(ET6-EN6)/EN6</f>
        <v>-0.45697896749521993</v>
      </c>
    </row>
    <row r="7" spans="1:151" x14ac:dyDescent="0.25">
      <c r="A7" t="s">
        <v>4436</v>
      </c>
      <c r="B7" t="s">
        <v>4490</v>
      </c>
      <c r="C7" t="s">
        <v>2038</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3052</v>
      </c>
      <c r="AL7" s="377">
        <v>2</v>
      </c>
      <c r="AM7" s="377">
        <v>1</v>
      </c>
      <c r="AN7" s="377">
        <v>1</v>
      </c>
      <c r="AO7" s="377">
        <v>2</v>
      </c>
      <c r="AP7" s="377">
        <v>1</v>
      </c>
      <c r="AQ7" s="1044"/>
      <c r="AS7" s="1044"/>
      <c r="AT7" s="381"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0"/>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2"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1"/>
        <v>0.49534133376161898</v>
      </c>
      <c r="BH7" s="60">
        <f t="shared" si="1"/>
        <v>0.51692865994766313</v>
      </c>
      <c r="BI7" s="60" cm="1">
        <f t="array" ref="BI7">1/AVERAGE(_xlfn._xlws.FILTER('Autonomie 2023 LDV'!$AM:$AM,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5">
        <f t="shared" si="6"/>
        <v>0.30628755436252714</v>
      </c>
      <c r="CM7" s="355">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1"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7"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8">
        <f t="shared" si="17"/>
        <v>-0.43444730077120819</v>
      </c>
    </row>
    <row r="8" spans="1:151" x14ac:dyDescent="0.25">
      <c r="A8" t="s">
        <v>4437</v>
      </c>
      <c r="B8" t="s">
        <v>2053</v>
      </c>
      <c r="C8" t="s">
        <v>2039</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1964</v>
      </c>
      <c r="AL8" s="377">
        <v>2</v>
      </c>
      <c r="AM8" s="377">
        <v>1</v>
      </c>
      <c r="AN8" s="377">
        <v>1</v>
      </c>
      <c r="AO8" s="377">
        <v>1</v>
      </c>
      <c r="AP8" s="377">
        <v>1</v>
      </c>
      <c r="AQ8" s="1044"/>
      <c r="AS8" s="1044"/>
      <c r="AT8" s="381"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7" cm="1">
        <f t="array" ref="AX8">SUMPRODUCT(_xlfn._xlws.FILTER('NRCan Fuel Guide'!$U$4:$U$13, 'NRCan Fuel Guide'!$T$4:$T$13=$AT8), _xlfn._xlws.FILTER('NRCan Fuel Guide'!$W$4:$W$13, 'NRCan Fuel Guide'!$T$4:$T$13=$AT8))/SUM(_xlfn._xlws.FILTER('NRCan Fuel Guide'!$W$4:$W$13, 'NRCan Fuel Guide'!$T$4:$T$13=$AT8))</f>
        <v>5.0787544450782578</v>
      </c>
      <c r="AY8" s="380" cm="1">
        <f t="array" ref="AY8">SUMPRODUCT(_xlfn._xlws.FILTER('NRCan Fuel Guide'!$AA$4:$AA$12, 'NRCan Fuel Guide'!$Z$4:$Z$12=$AT8), _xlfn._xlws.FILTER('NRCan Fuel Guide'!$AC$4:$AC$12, 'NRCan Fuel Guide'!$Z$4:$Z$12=$AT8))/SUM(_xlfn._xlws.FILTER('NRCan Fuel Guide'!$AC$4:$AC$12, 'NRCan Fuel Guide'!$Z$4:$Z$12=$AT8))</f>
        <v>4.9823611736069502</v>
      </c>
      <c r="BA8" s="17" t="s">
        <v>3001</v>
      </c>
      <c r="BB8" s="782"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1"/>
        <v>0.67874473813628555</v>
      </c>
      <c r="BH8" s="60">
        <f t="shared" si="1"/>
        <v>0.71419061202480971</v>
      </c>
      <c r="BI8" s="60" cm="1">
        <f t="array" ref="BI8">1/AVERAGE(_xlfn._xlws.FILTER('Autonomie 2023 LDV'!$AM:$AM, ('Autonomie 2023 LDV'!$A:$A=$BA8)*('Autonomie 2023 LDV'!$B:$B=BI$3)*('Autonomie 2023 LDV'!$D:$D="Compact")))</f>
        <v>0.74963648591333387</v>
      </c>
      <c r="BJ8" s="85">
        <f t="shared" si="2"/>
        <v>0.31601082582260909</v>
      </c>
      <c r="BL8" s="17" t="s">
        <v>3001</v>
      </c>
      <c r="BM8" s="113">
        <f t="shared" ref="BM8" si="20">1/(BM37*GSL_PJ_ML*10)</f>
        <v>4.9052234890292228</v>
      </c>
      <c r="BN8" s="797">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5">
        <f t="shared" si="6"/>
        <v>0.50400547173556098</v>
      </c>
      <c r="CM8" s="355">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1"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7"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8">
        <f t="shared" si="17"/>
        <v>-0.42982456140350883</v>
      </c>
    </row>
    <row r="9" spans="1:151" x14ac:dyDescent="0.25">
      <c r="A9" t="s">
        <v>4438</v>
      </c>
      <c r="B9" t="s">
        <v>2054</v>
      </c>
      <c r="C9" t="s">
        <v>2039</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1964</v>
      </c>
      <c r="AL9" s="377">
        <v>2</v>
      </c>
      <c r="AM9" s="377">
        <v>1</v>
      </c>
      <c r="AN9" s="377">
        <v>1</v>
      </c>
      <c r="AO9" s="377">
        <v>1</v>
      </c>
      <c r="AP9" s="377">
        <v>1</v>
      </c>
      <c r="AQ9" s="1044"/>
      <c r="AS9" s="1044"/>
      <c r="AT9" s="381" t="s">
        <v>3044</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7" cm="1">
        <f t="array" ref="AX9">SUMPRODUCT(_xlfn._xlws.FILTER('NRCan Fuel Guide'!$AM$4:$AM$14, 'NRCan Fuel Guide'!$AL$4:$AL$14=55), _xlfn._xlws.FILTER('NRCan Fuel Guide'!$AQ$4:$AQ$14, 'NRCan Fuel Guide'!$AL$4:$AL$14=55))/SUM(_xlfn._xlws.FILTER('NRCan Fuel Guide'!$AQ$4:$AQ$14, 'NRCan Fuel Guide'!$AL$4:$AL$14=55))</f>
        <v>3.1629350499987927</v>
      </c>
      <c r="AY9" s="380"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4423</v>
      </c>
      <c r="BB9" s="782"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1"/>
        <v>1.1135418011190896</v>
      </c>
      <c r="BH9" s="60">
        <f t="shared" si="1"/>
        <v>1.1562170480649165</v>
      </c>
      <c r="BI9" s="60" cm="1">
        <f t="array" ref="BI9">1/AVERAGE(_xlfn._xlws.FILTER('Autonomie 2023 LDV'!$AM:$AM, ('Autonomie 2023 LDV'!$A:$A=$BA9)*('Autonomie 2023 LDV'!$B:$B=BI$3)*('Autonomie 2023 LDV'!$D:$D="Compact")))</f>
        <v>1.1988922950107435</v>
      </c>
      <c r="BJ9" s="85">
        <f t="shared" si="2"/>
        <v>0.47679489686222548</v>
      </c>
      <c r="BL9" s="17" t="s">
        <v>4423</v>
      </c>
      <c r="BM9" s="113">
        <f t="shared" ref="BM9" si="22">1/(BM38*GSL_PJ_ML*10)</f>
        <v>3.4270325266409536</v>
      </c>
      <c r="BN9" s="797">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5">
        <f t="shared" ref="CL9:CM9" si="23">($CN9-$CK9)/3 + CK9</f>
        <v>0.70898571758939022</v>
      </c>
      <c r="CM9" s="355">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1"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7"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8">
        <f t="shared" si="17"/>
        <v>-0.47107438016528924</v>
      </c>
    </row>
    <row r="10" spans="1:151" x14ac:dyDescent="0.25">
      <c r="A10" t="s">
        <v>4439</v>
      </c>
      <c r="B10" t="s">
        <v>4772</v>
      </c>
      <c r="C10" t="s">
        <v>4762</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1965</v>
      </c>
      <c r="AL10" s="377">
        <v>2</v>
      </c>
      <c r="AM10" s="377">
        <v>1</v>
      </c>
      <c r="AN10" s="377">
        <v>1</v>
      </c>
      <c r="AO10" s="377">
        <v>2</v>
      </c>
      <c r="AP10" s="377">
        <v>1</v>
      </c>
      <c r="AQ10" s="1044"/>
      <c r="AS10" s="1044"/>
      <c r="AT10" s="381"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7" cm="1">
        <f t="array" ref="AX10">SUMPRODUCT(_xlfn._xlws.FILTER('NRCan Fuel Guide'!$AM$4:$AM$14, 'NRCan Fuel Guide'!$AL$4:$AL$14=90), _xlfn._xlws.FILTER('NRCan Fuel Guide'!$AQ$4:$AQ$14, 'NRCan Fuel Guide'!$AL$4:$AL$14=90))/SUM(_xlfn._xlws.FILTER('NRCan Fuel Guide'!$AQ$4:$AQ$14, 'NRCan Fuel Guide'!$AL$4:$AL$14=90))</f>
        <v>2.6371310057591333</v>
      </c>
      <c r="AY10" s="380"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4424</v>
      </c>
      <c r="BB10" s="782"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1"/>
        <v>1.2325264419146318</v>
      </c>
      <c r="BH10" s="60">
        <f t="shared" si="1"/>
        <v>1.2983017338891805</v>
      </c>
      <c r="BI10" s="60" cm="1">
        <f t="array" ref="BI10">1/AVERAGE(_xlfn._xlws.FILTER('Autonomie 2023 LDV'!$AM:$AM, ('Autonomie 2023 LDV'!$A:$A=$BA10)*('Autonomie 2023 LDV'!$B:$B=BI$3)*('Autonomie 2023 LDV'!$D:$D="Compact")))</f>
        <v>1.3640770258637291</v>
      </c>
      <c r="BJ10" s="85">
        <f t="shared" si="2"/>
        <v>0.4217572269815365</v>
      </c>
      <c r="BL10" s="17" t="s">
        <v>4424</v>
      </c>
      <c r="BM10" s="113">
        <f t="shared" ref="BM10" si="27">1/(BM39*GSL_PJ_ML*10)</f>
        <v>2.4982863797684569</v>
      </c>
      <c r="BN10" s="797">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5">
        <f t="shared" ref="CL10:CM10" si="28">($CN10-$CK10)/3 + CK10</f>
        <v>0.39362818290964274</v>
      </c>
      <c r="CM10" s="355">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1"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7"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8">
        <f t="shared" si="17"/>
        <v>-0.44720496894409939</v>
      </c>
    </row>
    <row r="11" spans="1:151" x14ac:dyDescent="0.25">
      <c r="A11" t="s">
        <v>4440</v>
      </c>
      <c r="B11" t="s">
        <v>2053</v>
      </c>
      <c r="C11" t="s">
        <v>2039</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1964</v>
      </c>
      <c r="AL11" s="377">
        <v>2</v>
      </c>
      <c r="AM11" s="377">
        <v>1</v>
      </c>
      <c r="AN11" s="377">
        <v>1</v>
      </c>
      <c r="AO11" s="377">
        <v>2</v>
      </c>
      <c r="AP11" s="377">
        <v>1</v>
      </c>
      <c r="AQ11" s="1044"/>
      <c r="AS11" s="1044"/>
      <c r="AT11" s="381" t="s">
        <v>3036</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7" cm="1">
        <f t="array" ref="AX11">SUMPRODUCT(_xlfn._xlws.FILTER('NRCan Fuel Guide'!$AG$4:$AG$15, 'NRCan Fuel Guide'!$AF$4:$AF$15=250), _xlfn._xlws.FILTER('NRCan Fuel Guide'!$AI$4:$AI$15, 'NRCan Fuel Guide'!$AF$4:$AF$15=250))/SUM(_xlfn._xlws.FILTER('NRCan Fuel Guide'!$AI$4:$AI$15, 'NRCan Fuel Guide'!$AF$4:$AF$15=250))</f>
        <v>18.939616269146214</v>
      </c>
      <c r="AY11" s="380" cm="1">
        <f t="array" ref="AY11">SUMPRODUCT(_xlfn._xlws.FILTER('NRCan Fuel Guide'!$AG$4:$AG$15, 'NRCan Fuel Guide'!$AF$4:$AF$15=250), _xlfn._xlws.FILTER('NRCan Fuel Guide'!$AI$4:$AI$15, 'NRCan Fuel Guide'!$AF$4:$AF$15=250))/SUM(_xlfn._xlws.FILTER('NRCan Fuel Guide'!$AI$4:$AI$15, 'NRCan Fuel Guide'!$AF$4:$AF$15=250))</f>
        <v>18.939616269146214</v>
      </c>
      <c r="BA11" s="17" t="s">
        <v>2997</v>
      </c>
      <c r="BB11" s="782"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1"/>
        <v>2.04473132876271</v>
      </c>
      <c r="BH11" s="60">
        <f t="shared" si="1"/>
        <v>2.1087091933813467</v>
      </c>
      <c r="BI11" s="60" cm="1">
        <f t="array" ref="BI11">1/AVERAGE(_xlfn._xlws.FILTER('Autonomie 2023 LDV'!$AM:$AM, ('Autonomie 2023 LDV'!$A:$A=$BA11)*('Autonomie 2023 LDV'!$B:$B=BI$3)*('Autonomie 2023 LDV'!$D:$D="Compact")))</f>
        <v>2.1726870579999833</v>
      </c>
      <c r="BJ11" s="85">
        <f t="shared" si="2"/>
        <v>0.17054336953596666</v>
      </c>
      <c r="BL11" s="17" t="s">
        <v>3039</v>
      </c>
      <c r="BM11" s="113">
        <f t="shared" ref="BM11:BT14" si="31">1/(BM40*ELC_PJ_MkWh*10)</f>
        <v>13.709963072280413</v>
      </c>
      <c r="BN11" s="797">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5">
        <f t="shared" ref="CL11:CM11" si="32">($CN11-$CK11)/3 + CK11</f>
        <v>0.36887758709468338</v>
      </c>
      <c r="CM11" s="355">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1"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8"/>
    </row>
    <row r="12" spans="1:151" x14ac:dyDescent="0.25">
      <c r="A12" t="s">
        <v>4441</v>
      </c>
      <c r="B12" t="s">
        <v>4490</v>
      </c>
      <c r="C12" t="s">
        <v>2039</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3052</v>
      </c>
      <c r="AL12" s="377">
        <v>2</v>
      </c>
      <c r="AM12" s="377">
        <v>1</v>
      </c>
      <c r="AN12" s="377">
        <v>1</v>
      </c>
      <c r="AO12" s="377">
        <v>2</v>
      </c>
      <c r="AP12" s="377">
        <v>1</v>
      </c>
      <c r="AQ12" s="1044"/>
      <c r="AS12" s="1044"/>
      <c r="AT12" s="381" t="s">
        <v>3037</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0"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2"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1"/>
        <v>2.0366925894140442</v>
      </c>
      <c r="BH12" s="60">
        <f t="shared" si="1"/>
        <v>2.0979456138581547</v>
      </c>
      <c r="BI12" s="60" cm="1">
        <f t="array" ref="BI12">1/AVERAGE(_xlfn._xlws.FILTER('Autonomie 2023 LDV'!$AM:$AM, ('Autonomie 2023 LDV'!$A:$A=$BA12)*('Autonomie 2023 LDV'!$B:$B=BI$3)*('Autonomie 2023 LDV'!$D:$D="Compact")))</f>
        <v>2.1591986383022657</v>
      </c>
      <c r="BJ12" s="85">
        <f t="shared" si="2"/>
        <v>0.16663432436696593</v>
      </c>
      <c r="BL12" s="17" t="s">
        <v>3040</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3993</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1"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7"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8">
        <f t="shared" si="17"/>
        <v>-0.38317757009345793</v>
      </c>
    </row>
    <row r="13" spans="1:151" x14ac:dyDescent="0.25">
      <c r="A13" t="s">
        <v>4442</v>
      </c>
      <c r="B13" t="s">
        <v>2053</v>
      </c>
      <c r="C13" t="s">
        <v>2040</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1964</v>
      </c>
      <c r="AL13" s="377">
        <v>2</v>
      </c>
      <c r="AM13" s="377">
        <v>1</v>
      </c>
      <c r="AN13" s="377">
        <v>1</v>
      </c>
      <c r="AO13" s="377">
        <v>1</v>
      </c>
      <c r="AP13" s="377">
        <v>1</v>
      </c>
      <c r="AQ13" s="1044"/>
      <c r="AS13" s="1044"/>
      <c r="AT13" s="381" t="s">
        <v>3038</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0"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2"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1"/>
        <v>1.9650337233366058</v>
      </c>
      <c r="BH13" s="60">
        <f t="shared" si="1"/>
        <v>2.0499847182784317</v>
      </c>
      <c r="BI13" s="60" cm="1">
        <f t="array" ref="BI13">1/AVERAGE(_xlfn._xlws.FILTER('Autonomie 2023 LDV'!$AM:$AM, ('Autonomie 2023 LDV'!$A:$A=$BA13)*('Autonomie 2023 LDV'!$B:$B=BI$3)*('Autonomie 2023 LDV'!$D:$D="Compact")))</f>
        <v>2.1349357132202575</v>
      </c>
      <c r="BJ13" s="85">
        <f t="shared" si="2"/>
        <v>0.20781456458454142</v>
      </c>
      <c r="BL13" s="17" t="s">
        <v>3041</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5">
        <f t="shared" ref="CL13:CM16" si="40">($CN13-$CK13)/3 + CK13</f>
        <v>0.22207129917080118</v>
      </c>
      <c r="CM13" s="355">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9" t="s">
        <v>1029</v>
      </c>
      <c r="ED13" s="73"/>
      <c r="EE13" s="73"/>
      <c r="EF13" s="73"/>
      <c r="EG13" s="73"/>
      <c r="EH13" s="73"/>
      <c r="EI13" s="73"/>
      <c r="EJ13" s="73"/>
      <c r="EK13" s="114"/>
      <c r="EM13" s="397"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8">
        <f t="shared" si="17"/>
        <v>-0.37154150197628455</v>
      </c>
    </row>
    <row r="14" spans="1:151" x14ac:dyDescent="0.25">
      <c r="A14" t="s">
        <v>4443</v>
      </c>
      <c r="B14" t="s">
        <v>2054</v>
      </c>
      <c r="C14" t="s">
        <v>2040</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1964</v>
      </c>
      <c r="AL14" s="377">
        <v>2</v>
      </c>
      <c r="AM14" s="377">
        <v>1</v>
      </c>
      <c r="AN14" s="377">
        <v>1</v>
      </c>
      <c r="AO14" s="377">
        <v>1</v>
      </c>
      <c r="AP14" s="377">
        <v>1</v>
      </c>
      <c r="AQ14" s="1044"/>
      <c r="AS14" s="1044"/>
      <c r="AT14" s="379" t="s">
        <v>519</v>
      </c>
      <c r="AU14" s="73"/>
      <c r="AV14" s="73"/>
      <c r="AW14" s="73"/>
      <c r="AX14" s="73"/>
      <c r="AY14" s="380"/>
      <c r="BA14" s="17" t="s">
        <v>885</v>
      </c>
      <c r="BB14" s="782"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1"/>
        <v>1.7752745256697586</v>
      </c>
      <c r="BH14" s="60">
        <f t="shared" si="1"/>
        <v>1.8517822164236954</v>
      </c>
      <c r="BI14" s="60" cm="1">
        <f t="array" ref="BI14">1/AVERAGE(_xlfn._xlws.FILTER('Autonomie 2023 LDV'!$AM:$AM, ('Autonomie 2023 LDV'!$A:$A=$BA14)*('Autonomie 2023 LDV'!$B:$B=BI$3)*('Autonomie 2023 LDV'!$D:$D="Compact")))</f>
        <v>1.9282899071776323</v>
      </c>
      <c r="BJ14" s="85">
        <f t="shared" si="2"/>
        <v>0.24508547562390215</v>
      </c>
      <c r="BL14" s="17" t="s">
        <v>3042</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3979</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5">
        <f t="shared" si="40"/>
        <v>0.16996112384011264</v>
      </c>
      <c r="CM14" s="355">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6"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7"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8">
        <f t="shared" si="17"/>
        <v>-0.3563829787234043</v>
      </c>
    </row>
    <row r="15" spans="1:151" x14ac:dyDescent="0.25">
      <c r="A15" t="s">
        <v>4444</v>
      </c>
      <c r="B15" t="s">
        <v>2053</v>
      </c>
      <c r="C15" t="s">
        <v>2040</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1964</v>
      </c>
      <c r="AL15" s="377">
        <v>2</v>
      </c>
      <c r="AM15" s="377">
        <v>1</v>
      </c>
      <c r="AN15" s="377">
        <v>1</v>
      </c>
      <c r="AO15" s="377">
        <v>2</v>
      </c>
      <c r="AP15" s="377">
        <v>1</v>
      </c>
      <c r="AQ15" s="1044"/>
      <c r="AS15" s="1044"/>
      <c r="AT15" s="381"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0"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2"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1"/>
        <v>0.99570539526304602</v>
      </c>
      <c r="BH15" s="60">
        <f t="shared" si="1"/>
        <v>1.0169714760616639</v>
      </c>
      <c r="BI15" s="60" cm="1">
        <f t="array" ref="BI15">1/AVERAGE(_xlfn._xlws.FILTER('Autonomie 2023 LDV'!$AM:$AM,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5">
        <f t="shared" si="40"/>
        <v>0.26877512490015437</v>
      </c>
      <c r="CM15" s="355">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1"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7"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8">
        <f t="shared" si="17"/>
        <v>-0.43243243243243246</v>
      </c>
    </row>
    <row r="16" spans="1:151" x14ac:dyDescent="0.25">
      <c r="A16" t="s">
        <v>4445</v>
      </c>
      <c r="B16" t="s">
        <v>4490</v>
      </c>
      <c r="C16" t="s">
        <v>2040</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3052</v>
      </c>
      <c r="AL16" s="377">
        <v>2</v>
      </c>
      <c r="AM16" s="377">
        <v>1</v>
      </c>
      <c r="AN16" s="377">
        <v>1</v>
      </c>
      <c r="AO16" s="377">
        <v>2</v>
      </c>
      <c r="AP16" s="377">
        <v>1</v>
      </c>
      <c r="AQ16" s="1044"/>
      <c r="AS16" s="1044"/>
      <c r="AT16" s="381"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0"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0"/>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5">
        <f t="shared" si="40"/>
        <v>0.44182467393217101</v>
      </c>
      <c r="CM16" s="355">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1"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7"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8">
        <f t="shared" si="17"/>
        <v>-0.35877862595419846</v>
      </c>
    </row>
    <row r="17" spans="1:151" x14ac:dyDescent="0.25">
      <c r="A17" t="s">
        <v>4446</v>
      </c>
      <c r="B17" t="s">
        <v>2053</v>
      </c>
      <c r="C17" t="s">
        <v>2041</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1966</v>
      </c>
      <c r="AL17" s="377">
        <v>2</v>
      </c>
      <c r="AM17" s="377">
        <v>1</v>
      </c>
      <c r="AN17" s="377">
        <v>1</v>
      </c>
      <c r="AO17" s="377">
        <v>1</v>
      </c>
      <c r="AP17" s="377">
        <v>1</v>
      </c>
      <c r="AQ17" s="1044"/>
      <c r="AS17" s="1044"/>
      <c r="AT17" s="381"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0" cm="1">
        <f t="array" ref="AY17">SUMPRODUCT(_xlfn._xlws.FILTER('NRCan Fuel Guide'!$AA$14:$AA$26, 'NRCan Fuel Guide'!$Z$14:$Z$26=$AT17), _xlfn._xlws.FILTER('NRCan Fuel Guide'!$AC$14:$AC$26, 'NRCan Fuel Guide'!$Z$14:$Z$26=$AT17))/SUM(_xlfn._xlws.FILTER('NRCan Fuel Guide'!$AC$14:$AC$26, 'NRCan Fuel Guide'!$Z$14:$Z$26=$AT17))</f>
        <v>17.486666666666601</v>
      </c>
      <c r="BA17" s="28" t="s">
        <v>3030</v>
      </c>
      <c r="BB17" s="799"/>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5">
        <f t="shared" ref="CL17:CM17" si="48">($CN17-$CK17)/3 + CK17</f>
        <v>0.62008189835714012</v>
      </c>
      <c r="CM17" s="355">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1"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7"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8">
        <f t="shared" si="17"/>
        <v>-0.39534883720930225</v>
      </c>
    </row>
    <row r="18" spans="1:151" x14ac:dyDescent="0.25">
      <c r="A18" t="s">
        <v>4447</v>
      </c>
      <c r="B18" t="s">
        <v>2054</v>
      </c>
      <c r="C18" t="s">
        <v>2041</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1967</v>
      </c>
      <c r="AL18" s="377">
        <v>2</v>
      </c>
      <c r="AM18" s="377">
        <v>1</v>
      </c>
      <c r="AN18" s="377">
        <v>1</v>
      </c>
      <c r="AO18" s="377">
        <v>1</v>
      </c>
      <c r="AP18" s="377">
        <v>1</v>
      </c>
      <c r="AQ18" s="1044"/>
      <c r="AS18" s="1044"/>
      <c r="AT18" s="381"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0"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2"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LDV'!$AM:$AM,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5">
        <f t="shared" ref="CL18:CM18" si="54">($CN18-$CK18)/3 + CK18</f>
        <v>0.34386088301534856</v>
      </c>
      <c r="CM18" s="355">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1"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8"/>
    </row>
    <row r="19" spans="1:151" x14ac:dyDescent="0.25">
      <c r="A19" t="s">
        <v>4448</v>
      </c>
      <c r="B19" t="s">
        <v>2054</v>
      </c>
      <c r="C19" t="s">
        <v>2042</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1967</v>
      </c>
      <c r="AL19" s="377">
        <v>2</v>
      </c>
      <c r="AM19" s="377">
        <v>1</v>
      </c>
      <c r="AN19" s="377">
        <v>1</v>
      </c>
      <c r="AO19" s="377">
        <v>1</v>
      </c>
      <c r="AP19" s="377">
        <v>1</v>
      </c>
      <c r="AQ19" s="1044"/>
      <c r="AS19" s="1044"/>
      <c r="AT19" s="381" t="s">
        <v>3044</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0"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2"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9"/>
        <v>0.5238847295572816</v>
      </c>
      <c r="BH19" s="60">
        <f t="shared" si="49"/>
        <v>0.54323249908538696</v>
      </c>
      <c r="BI19" s="60" cm="1">
        <f t="array" ref="BI19">1/AVERAGE(_xlfn._xlws.FILTER('Autonomie 2023 LDV'!$AM:$AM,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5">
        <f t="shared" ref="CL19:CM19" si="56">($CN19-$CK19)/3 + CK19</f>
        <v>0.3164044482765947</v>
      </c>
      <c r="CM19" s="355">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1"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7"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8">
        <f t="shared" si="17"/>
        <v>-0.34883720930232565</v>
      </c>
    </row>
    <row r="20" spans="1:151" x14ac:dyDescent="0.25">
      <c r="A20" t="s">
        <v>4449</v>
      </c>
      <c r="B20" t="s">
        <v>2053</v>
      </c>
      <c r="C20" t="s">
        <v>2043</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1966</v>
      </c>
      <c r="AL20" s="377">
        <v>2</v>
      </c>
      <c r="AM20" s="377">
        <v>1</v>
      </c>
      <c r="AN20" s="377">
        <v>1</v>
      </c>
      <c r="AO20" s="377">
        <v>1</v>
      </c>
      <c r="AP20" s="377">
        <v>1</v>
      </c>
      <c r="AQ20" s="1044"/>
      <c r="AS20" s="1044"/>
      <c r="AT20" s="381"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0"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2"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9"/>
        <v>0.4469038378518288</v>
      </c>
      <c r="BH20" s="60">
        <f t="shared" si="49"/>
        <v>0.46604351972790642</v>
      </c>
      <c r="BI20" s="60" cm="1">
        <f t="array" ref="BI20">1/AVERAGE(_xlfn._xlws.FILTER('Autonomie 2023 LDV'!$AM:$AM,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3994</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1"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7"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8">
        <f t="shared" si="17"/>
        <v>-0.37190082644628103</v>
      </c>
    </row>
    <row r="21" spans="1:151" x14ac:dyDescent="0.25">
      <c r="A21" t="s">
        <v>4450</v>
      </c>
      <c r="B21" t="s">
        <v>2053</v>
      </c>
      <c r="C21" t="s">
        <v>2044</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4024</v>
      </c>
      <c r="AL21" s="377">
        <v>2</v>
      </c>
      <c r="AM21" s="377">
        <v>1</v>
      </c>
      <c r="AN21" s="377">
        <v>1</v>
      </c>
      <c r="AO21" s="377">
        <v>1</v>
      </c>
      <c r="AP21" s="377">
        <v>2</v>
      </c>
      <c r="AQ21" s="1044"/>
      <c r="AS21" s="1044"/>
      <c r="AT21" s="381" t="s">
        <v>3036</v>
      </c>
      <c r="AU21" s="73"/>
      <c r="AV21" s="73"/>
      <c r="AW21" s="73"/>
      <c r="AX21" s="73"/>
      <c r="AY21" s="380"/>
      <c r="BA21" s="17" t="s">
        <v>3001</v>
      </c>
      <c r="BB21" s="782"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9"/>
        <v>0.62254192092543414</v>
      </c>
      <c r="BH21" s="60">
        <f t="shared" si="49"/>
        <v>0.65711822319075408</v>
      </c>
      <c r="BI21" s="60" cm="1">
        <f t="array" ref="BI21">1/AVERAGE(_xlfn._xlws.FILTER('Autonomie 2023 LDV'!$AM:$AM, ('Autonomie 2023 LDV'!$A:$A=$BA21)*('Autonomie 2023 LDV'!$B:$B=BI$3)*('Autonomie 2023 LDV'!$D:$D="Midsize")))</f>
        <v>0.69169452545607402</v>
      </c>
      <c r="BJ21" s="85">
        <f t="shared" si="50"/>
        <v>0.33274370519321689</v>
      </c>
      <c r="BL21" s="17" t="s">
        <v>3001</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5">
        <f t="shared" ref="CL21:CM24" si="64">($CN21-$CK21)/3 + CK21</f>
        <v>0.20921588809823807</v>
      </c>
      <c r="CM21" s="355">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1"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7"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8">
        <f t="shared" si="17"/>
        <v>-0.34065934065934056</v>
      </c>
    </row>
    <row r="22" spans="1:151" x14ac:dyDescent="0.25">
      <c r="A22" t="s">
        <v>4451</v>
      </c>
      <c r="B22" t="s">
        <v>2054</v>
      </c>
      <c r="C22" t="s">
        <v>2044</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1968</v>
      </c>
      <c r="AL22" s="377">
        <v>2</v>
      </c>
      <c r="AM22" s="377">
        <v>1</v>
      </c>
      <c r="AN22" s="377">
        <v>1</v>
      </c>
      <c r="AO22" s="377">
        <v>1</v>
      </c>
      <c r="AP22" s="377">
        <v>1</v>
      </c>
      <c r="AQ22" s="1044"/>
      <c r="AS22" s="1044"/>
      <c r="AT22" s="381" t="s">
        <v>3037</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0" cm="1">
        <f t="array" ref="AY22">SUMPRODUCT(_xlfn._xlws.FILTER('NRCan Fuel Guide'!$AG$16:$AG$21, 'NRCan Fuel Guide'!$AF$16:$AF$21=500), _xlfn._xlws.FILTER('NRCan Fuel Guide'!$AI$16:$AI$21, 'NRCan Fuel Guide'!$AF$16:$AF$21=500))/SUM(_xlfn._xlws.FILTER('NRCan Fuel Guide'!$AI$16:$AI$21, 'NRCan Fuel Guide'!$AF$16:$AF$21=500))</f>
        <v>24.876475485037957</v>
      </c>
      <c r="AZ22" s="561">
        <f>35*km_mile</f>
        <v>56.326900000000002</v>
      </c>
      <c r="BA22" s="17" t="s">
        <v>4423</v>
      </c>
      <c r="BB22" s="782"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9"/>
        <v>1.0542074620882378</v>
      </c>
      <c r="BH22" s="60">
        <f t="shared" si="49"/>
        <v>1.093906231603565</v>
      </c>
      <c r="BI22" s="60" cm="1">
        <f t="array" ref="BI22">1/AVERAGE(_xlfn._xlws.FILTER('Autonomie 2023 LDV'!$AM:$AM, ('Autonomie 2023 LDV'!$A:$A=$BA22)*('Autonomie 2023 LDV'!$B:$B=BI$3)*('Autonomie 2023 LDV'!$D:$D="Midsize")))</f>
        <v>1.1336050011188923</v>
      </c>
      <c r="BJ22" s="85">
        <f t="shared" si="50"/>
        <v>0.40941747311587873</v>
      </c>
      <c r="BL22" s="17" t="s">
        <v>4423</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3979</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5">
        <f t="shared" si="64"/>
        <v>0.15819748658087202</v>
      </c>
      <c r="CM22" s="355">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9" t="s">
        <v>1031</v>
      </c>
      <c r="ED22" s="73"/>
      <c r="EE22" s="73"/>
      <c r="EF22" s="73"/>
      <c r="EG22" s="73"/>
      <c r="EH22" s="73"/>
      <c r="EI22" s="73"/>
      <c r="EJ22" s="73"/>
      <c r="EK22" s="114"/>
      <c r="EM22" s="397"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8">
        <f t="shared" si="17"/>
        <v>-0.36111111111111122</v>
      </c>
    </row>
    <row r="23" spans="1:151" ht="14.45" customHeight="1" x14ac:dyDescent="0.25">
      <c r="A23" t="s">
        <v>4452</v>
      </c>
      <c r="B23" t="s">
        <v>2055</v>
      </c>
      <c r="C23" t="s">
        <v>2044</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4025</v>
      </c>
      <c r="AL23" s="377">
        <v>2</v>
      </c>
      <c r="AM23" s="377">
        <v>1</v>
      </c>
      <c r="AN23" s="377">
        <v>1</v>
      </c>
      <c r="AO23" s="377">
        <v>1</v>
      </c>
      <c r="AP23" s="377">
        <v>2</v>
      </c>
      <c r="AQ23" s="1044"/>
      <c r="AS23" s="1044"/>
      <c r="AT23" s="381" t="s">
        <v>3038</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0" cm="1">
        <f t="array" ref="AY23">SUMPRODUCT(_xlfn._xlws.FILTER('NRCan Fuel Guide'!$AG$16:$AG$21, 'NRCan Fuel Guide'!$AF$16:$AF$21=800), _xlfn._xlws.FILTER('NRCan Fuel Guide'!$AI$16:$AI$21, 'NRCan Fuel Guide'!$AF$16:$AF$21=800))/SUM(_xlfn._xlws.FILTER('NRCan Fuel Guide'!$AI$16:$AI$21, 'NRCan Fuel Guide'!$AF$16:$AF$21=800))</f>
        <v>22.132545287579276</v>
      </c>
      <c r="AZ23" s="561">
        <f>50*km_mile</f>
        <v>80.466999999999999</v>
      </c>
      <c r="BA23" s="17" t="s">
        <v>4424</v>
      </c>
      <c r="BB23" s="782"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9"/>
        <v>1.2035773852514302</v>
      </c>
      <c r="BH23" s="60">
        <f t="shared" si="49"/>
        <v>1.2453901964516823</v>
      </c>
      <c r="BI23" s="60" cm="1">
        <f t="array" ref="BI23">1/AVERAGE(_xlfn._xlws.FILTER('Autonomie 2023 LDV'!$AM:$AM, ('Autonomie 2023 LDV'!$A:$A=$BA23)*('Autonomie 2023 LDV'!$B:$B=BI$3)*('Autonomie 2023 LDV'!$D:$D="Midsize")))</f>
        <v>1.2872030076519343</v>
      </c>
      <c r="BJ23" s="85">
        <f t="shared" si="50"/>
        <v>0.40147455913187285</v>
      </c>
      <c r="BL23" s="17" t="s">
        <v>4424</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5">
        <f t="shared" si="64"/>
        <v>0.23035910314365651</v>
      </c>
      <c r="CM23" s="355">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6"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7"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8">
        <f t="shared" si="17"/>
        <v>-0.39552238805970152</v>
      </c>
    </row>
    <row r="24" spans="1:151" ht="14.45" customHeight="1" x14ac:dyDescent="0.25">
      <c r="A24" t="s">
        <v>4453</v>
      </c>
      <c r="B24" t="s">
        <v>2053</v>
      </c>
      <c r="C24" t="s">
        <v>2045</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4024</v>
      </c>
      <c r="AL24" s="377">
        <v>2</v>
      </c>
      <c r="AM24" s="377">
        <v>1</v>
      </c>
      <c r="AN24" s="377">
        <v>1</v>
      </c>
      <c r="AO24" s="377">
        <v>1</v>
      </c>
      <c r="AP24" s="377">
        <v>2</v>
      </c>
      <c r="AQ24" s="1044"/>
      <c r="AS24" s="1044"/>
      <c r="AT24" s="1105" t="s">
        <v>3051</v>
      </c>
      <c r="AU24" s="1106"/>
      <c r="AV24" s="1106"/>
      <c r="AW24" s="1106"/>
      <c r="AX24" s="1106"/>
      <c r="AY24" s="1107"/>
      <c r="AZ24" s="561">
        <f>150*km_mile</f>
        <v>241.40100000000001</v>
      </c>
      <c r="BA24" s="17" t="s">
        <v>2997</v>
      </c>
      <c r="BB24" s="782"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9"/>
        <v>2.2016065105218341</v>
      </c>
      <c r="BH24" s="60">
        <f t="shared" si="49"/>
        <v>2.2690782358969077</v>
      </c>
      <c r="BI24" s="60" cm="1">
        <f t="array" ref="BI24">1/AVERAGE(_xlfn._xlws.FILTER('Autonomie 2023 LDV'!$AM:$AM, ('Autonomie 2023 LDV'!$A:$A=$BA24)*('Autonomie 2023 LDV'!$B:$B=BI$3)*('Autonomie 2023 LDV'!$D:$D="Midsize")))</f>
        <v>2.3365499612719818</v>
      </c>
      <c r="BJ24" s="85">
        <f t="shared" si="50"/>
        <v>0.2967460704857719</v>
      </c>
      <c r="BL24" s="17" t="s">
        <v>3039</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5">
        <f t="shared" si="64"/>
        <v>0.38439209433654214</v>
      </c>
      <c r="CM24" s="355">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1"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7"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8">
        <f t="shared" si="17"/>
        <v>-0.35922330097087385</v>
      </c>
    </row>
    <row r="25" spans="1:151" ht="14.45" customHeight="1" thickBot="1" x14ac:dyDescent="0.3">
      <c r="A25" t="s">
        <v>4454</v>
      </c>
      <c r="B25" t="s">
        <v>2054</v>
      </c>
      <c r="C25" t="s">
        <v>2045</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1968</v>
      </c>
      <c r="AL25" s="377">
        <v>2</v>
      </c>
      <c r="AM25" s="377">
        <v>1</v>
      </c>
      <c r="AN25" s="377">
        <v>1</v>
      </c>
      <c r="AO25" s="377">
        <v>1</v>
      </c>
      <c r="AP25" s="377">
        <v>1</v>
      </c>
      <c r="AQ25" s="1044"/>
      <c r="AS25" s="1044"/>
      <c r="AT25" s="1108"/>
      <c r="AU25" s="1109"/>
      <c r="AV25" s="1109"/>
      <c r="AW25" s="1109"/>
      <c r="AX25" s="1109"/>
      <c r="AY25" s="1110"/>
      <c r="AZ25" s="561">
        <f>200*km_mile</f>
        <v>321.86799999999999</v>
      </c>
      <c r="BA25" s="17" t="s">
        <v>883</v>
      </c>
      <c r="BB25" s="782"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9"/>
        <v>2.1396172751360347</v>
      </c>
      <c r="BH25" s="60">
        <f t="shared" si="49"/>
        <v>2.2319963196160617</v>
      </c>
      <c r="BI25" s="60" cm="1">
        <f t="array" ref="BI25">1/AVERAGE(_xlfn._xlws.FILTER('Autonomie 2023 LDV'!$AM:$AM, ('Autonomie 2023 LDV'!$A:$A=$BA25)*('Autonomie 2023 LDV'!$B:$B=BI$3)*('Autonomie 2023 LDV'!$D:$D="Midsize")))</f>
        <v>2.3243753640960882</v>
      </c>
      <c r="BJ25" s="85">
        <f t="shared" si="50"/>
        <v>0.3415270521200211</v>
      </c>
      <c r="BL25" s="17" t="s">
        <v>3040</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5">
        <f t="shared" ref="CL25:CM25" si="71">($CN25-$CK25)/3 + CK25</f>
        <v>0.52517520445250498</v>
      </c>
      <c r="CM25" s="355">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1"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8"/>
    </row>
    <row r="26" spans="1:151" x14ac:dyDescent="0.25">
      <c r="A26" t="s">
        <v>4455</v>
      </c>
      <c r="B26" t="s">
        <v>2055</v>
      </c>
      <c r="C26" t="s">
        <v>2045</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4025</v>
      </c>
      <c r="AL26" s="377">
        <v>2</v>
      </c>
      <c r="AM26" s="377">
        <v>1</v>
      </c>
      <c r="AN26" s="377">
        <v>1</v>
      </c>
      <c r="AO26" s="377">
        <v>1</v>
      </c>
      <c r="AP26" s="377">
        <v>2</v>
      </c>
      <c r="AQ26" s="1044"/>
      <c r="AS26" s="1044"/>
      <c r="AT26" s="1099" t="s">
        <v>1947</v>
      </c>
      <c r="AU26" s="1100"/>
      <c r="AV26" s="1100"/>
      <c r="AW26" s="1100"/>
      <c r="AX26" s="1100"/>
      <c r="AY26" s="1101"/>
      <c r="AZ26" s="561">
        <f>300*km_mile</f>
        <v>482.80200000000002</v>
      </c>
      <c r="BA26" s="17" t="s">
        <v>884</v>
      </c>
      <c r="BB26" s="782"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9"/>
        <v>2.0364756567116897</v>
      </c>
      <c r="BH26" s="60">
        <f t="shared" si="49"/>
        <v>2.1220750196558278</v>
      </c>
      <c r="BI26" s="60" cm="1">
        <f t="array" ref="BI26">1/AVERAGE(_xlfn._xlws.FILTER('Autonomie 2023 LDV'!$AM:$AM, ('Autonomie 2023 LDV'!$A:$A=$BA26)*('Autonomie 2023 LDV'!$B:$B=BI$3)*('Autonomie 2023 LDV'!$D:$D="Midsize")))</f>
        <v>2.2076743825999658</v>
      </c>
      <c r="BJ26" s="85">
        <f t="shared" si="50"/>
        <v>0.33373511380812249</v>
      </c>
      <c r="BL26" s="17" t="s">
        <v>3041</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5">
        <f t="shared" ref="CL26:CM26" si="73">($CN26-$CK26)/3 + CK26</f>
        <v>0.28612992679169624</v>
      </c>
      <c r="CM26" s="355">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1"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7"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8">
        <f t="shared" si="17"/>
        <v>-0.34883720930232565</v>
      </c>
    </row>
    <row r="27" spans="1:151" ht="14.45" customHeight="1" x14ac:dyDescent="0.25">
      <c r="A27" t="s">
        <v>4456</v>
      </c>
      <c r="B27" t="s">
        <v>2063</v>
      </c>
      <c r="C27" t="s">
        <v>2045</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4026</v>
      </c>
      <c r="AL27" s="377">
        <v>2</v>
      </c>
      <c r="AM27" s="377">
        <v>1</v>
      </c>
      <c r="AN27" s="377">
        <v>1</v>
      </c>
      <c r="AO27" s="377">
        <v>1</v>
      </c>
      <c r="AP27" s="377">
        <v>2</v>
      </c>
      <c r="AQ27" s="1044"/>
      <c r="AS27" s="1044"/>
      <c r="AT27" s="1102"/>
      <c r="AU27" s="1103"/>
      <c r="AV27" s="1103"/>
      <c r="AW27" s="1103"/>
      <c r="AX27" s="1103"/>
      <c r="AY27" s="1104"/>
      <c r="AZ27" s="561">
        <f>400*km_mile</f>
        <v>643.73599999999999</v>
      </c>
      <c r="BA27" s="17" t="s">
        <v>885</v>
      </c>
      <c r="BB27" s="782"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9"/>
        <v>1.8804241658507623</v>
      </c>
      <c r="BH27" s="60">
        <f t="shared" si="49"/>
        <v>1.9301092219853468</v>
      </c>
      <c r="BI27" s="60" cm="1">
        <f t="array" ref="BI27">1/AVERAGE(_xlfn._xlws.FILTER('Autonomie 2023 LDV'!$AM:$AM, ('Autonomie 2023 LDV'!$A:$A=$BA27)*('Autonomie 2023 LDV'!$B:$B=BI$3)*('Autonomie 2023 LDV'!$D:$D="Midsize")))</f>
        <v>1.9797942781199316</v>
      </c>
      <c r="BJ27" s="85">
        <f t="shared" si="50"/>
        <v>0.36119670883696564</v>
      </c>
      <c r="BL27" s="17" t="s">
        <v>3042</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5">
        <f t="shared" ref="CL27:CM27" si="75">($CN27-$CK27)/3 + CK27</f>
        <v>0.25722897300139641</v>
      </c>
      <c r="CM27" s="355">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1"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7"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8">
        <f t="shared" si="17"/>
        <v>-0.36864406779661024</v>
      </c>
    </row>
    <row r="28" spans="1:151" x14ac:dyDescent="0.25">
      <c r="A28" t="s">
        <v>4457</v>
      </c>
      <c r="B28" t="s">
        <v>2053</v>
      </c>
      <c r="C28" t="s">
        <v>2046</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4024</v>
      </c>
      <c r="AL28" s="377">
        <v>2</v>
      </c>
      <c r="AM28" s="377">
        <v>1</v>
      </c>
      <c r="AN28" s="377">
        <v>1</v>
      </c>
      <c r="AO28" s="377">
        <v>1</v>
      </c>
      <c r="AP28" s="377">
        <v>2</v>
      </c>
      <c r="AQ28" s="1044"/>
      <c r="AS28" s="1044"/>
      <c r="AT28" s="1105" t="s">
        <v>2133</v>
      </c>
      <c r="AU28" s="1106"/>
      <c r="AV28" s="1106"/>
      <c r="AW28" s="1106"/>
      <c r="AX28" s="1106"/>
      <c r="AY28" s="1107"/>
      <c r="BA28" s="17" t="s">
        <v>567</v>
      </c>
      <c r="BB28" s="782"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9"/>
        <v>0.88724089176507204</v>
      </c>
      <c r="BH28" s="60">
        <f t="shared" si="49"/>
        <v>0.91296551294395289</v>
      </c>
      <c r="BI28" s="60" cm="1">
        <f t="array" ref="BI28">1/AVERAGE(_xlfn._xlws.FILTER('Autonomie 2023 LDV'!$AM:$AM,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3995</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1"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7"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8">
        <f t="shared" si="17"/>
        <v>-0.35164835164835151</v>
      </c>
    </row>
    <row r="29" spans="1:151" ht="15.75" thickBot="1" x14ac:dyDescent="0.3">
      <c r="A29" t="s">
        <v>4458</v>
      </c>
      <c r="B29" t="s">
        <v>2054</v>
      </c>
      <c r="C29" t="s">
        <v>2046</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1968</v>
      </c>
      <c r="AL29" s="377">
        <v>2</v>
      </c>
      <c r="AM29" s="377">
        <v>1</v>
      </c>
      <c r="AN29" s="377">
        <v>1</v>
      </c>
      <c r="AO29" s="377">
        <v>1</v>
      </c>
      <c r="AP29" s="377">
        <v>1</v>
      </c>
      <c r="AQ29" s="1044"/>
      <c r="AS29" s="1044"/>
      <c r="AT29" s="1108"/>
      <c r="AU29" s="1109"/>
      <c r="AV29" s="1109"/>
      <c r="AW29" s="1109"/>
      <c r="AX29" s="1109"/>
      <c r="AY29" s="1110"/>
      <c r="BA29" s="17"/>
      <c r="BB29" s="800"/>
      <c r="BC29" s="60"/>
      <c r="BD29" s="60"/>
      <c r="BE29" s="60"/>
      <c r="BF29" s="60"/>
      <c r="BG29" s="60"/>
      <c r="BH29" s="60"/>
      <c r="BI29" s="60"/>
      <c r="BJ29" s="85"/>
      <c r="BL29" s="354" t="s">
        <v>1927</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5">
        <f t="shared" ref="CL29:CM32" si="82">($CN29-$CK29)/3 + CK29</f>
        <v>0.23044908355172217</v>
      </c>
      <c r="CM29" s="355">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1"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7"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8">
        <f t="shared" si="17"/>
        <v>-0.36111111111111122</v>
      </c>
    </row>
    <row r="30" spans="1:151" ht="21" x14ac:dyDescent="0.35">
      <c r="A30" t="s">
        <v>4459</v>
      </c>
      <c r="B30" t="s">
        <v>2056</v>
      </c>
      <c r="C30" t="s">
        <v>2047</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4389</v>
      </c>
      <c r="AL30" s="377">
        <v>2</v>
      </c>
      <c r="AM30" s="377">
        <v>1</v>
      </c>
      <c r="AN30" s="377">
        <v>1</v>
      </c>
      <c r="AO30" s="377">
        <v>2</v>
      </c>
      <c r="AP30" s="377">
        <v>1</v>
      </c>
      <c r="AQ30" s="1044"/>
      <c r="AS30" s="1044"/>
      <c r="AT30" s="385"/>
      <c r="AU30" s="70"/>
      <c r="AV30" s="70"/>
      <c r="AW30" s="70"/>
      <c r="AX30" s="70"/>
      <c r="AY30" s="295"/>
      <c r="BA30" s="28" t="s">
        <v>3031</v>
      </c>
      <c r="BB30" s="799"/>
      <c r="BC30" s="60"/>
      <c r="BD30" s="60"/>
      <c r="BE30" s="60"/>
      <c r="BF30" s="60"/>
      <c r="BG30" s="60"/>
      <c r="BH30" s="60"/>
      <c r="BI30" s="60"/>
      <c r="BM30" s="354"/>
      <c r="BN30" s="13"/>
      <c r="BO30" s="13"/>
      <c r="BW30" s="1093" t="s">
        <v>2138</v>
      </c>
      <c r="BX30" s="1094"/>
      <c r="BY30" s="1094"/>
      <c r="BZ30" s="1094"/>
      <c r="CA30" s="1094"/>
      <c r="CB30" s="1094"/>
      <c r="CC30" s="1094"/>
      <c r="CD30" s="1095"/>
      <c r="CE30" s="809"/>
      <c r="CF30">
        <v>5</v>
      </c>
      <c r="CG30" s="17" t="s">
        <v>3979</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5">
        <f t="shared" si="82"/>
        <v>0.18351421129926723</v>
      </c>
      <c r="CM30" s="355">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7"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8">
        <f t="shared" si="17"/>
        <v>-0.40298507462686561</v>
      </c>
    </row>
    <row r="31" spans="1:151" ht="15.75" x14ac:dyDescent="0.25">
      <c r="A31" t="s">
        <v>4460</v>
      </c>
      <c r="B31" t="s">
        <v>2056</v>
      </c>
      <c r="C31" t="s">
        <v>2048</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4389</v>
      </c>
      <c r="AL31" s="377">
        <v>2</v>
      </c>
      <c r="AM31" s="377">
        <v>1</v>
      </c>
      <c r="AN31" s="377">
        <v>1</v>
      </c>
      <c r="AO31" s="377">
        <v>2</v>
      </c>
      <c r="AP31" s="377">
        <v>1</v>
      </c>
      <c r="AQ31" s="1044"/>
      <c r="AS31" s="1044"/>
      <c r="AT31" s="1096" t="s">
        <v>941</v>
      </c>
      <c r="AU31" s="1037"/>
      <c r="AV31" s="1037"/>
      <c r="AW31" s="1037"/>
      <c r="AX31" s="1037"/>
      <c r="AY31" s="1097"/>
      <c r="BA31" s="17" t="s">
        <v>890</v>
      </c>
      <c r="BB31" s="782"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LDV'!$AM:$AM, ('Autonomie 2023 LDV'!$A:$A=$BA31)*('Autonomie 2023 LDV'!$B:$B=BI$3)*('Autonomie 2023 LDV'!$D:$D="Small SUV")))</f>
        <v>0.43199702841210919</v>
      </c>
      <c r="BJ31" s="85">
        <f t="shared" ref="BJ31:BJ41" si="86">(BI31-BC31)/BC31</f>
        <v>0.39696608999187</v>
      </c>
      <c r="BL31" s="386" t="s">
        <v>1926</v>
      </c>
      <c r="BM31" s="386"/>
      <c r="BN31" s="369"/>
      <c r="BO31" s="369"/>
      <c r="BP31" s="369"/>
      <c r="BQ31" s="369"/>
      <c r="BR31" s="369"/>
      <c r="BS31" s="369"/>
      <c r="BT31" s="369"/>
      <c r="BW31" s="393" t="s">
        <v>3034</v>
      </c>
      <c r="BX31" s="260"/>
      <c r="BY31" s="260"/>
      <c r="BZ31" s="260"/>
      <c r="CA31" s="260"/>
      <c r="CB31" s="260"/>
      <c r="CC31" s="260"/>
      <c r="CD31" s="394"/>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5">
        <f t="shared" si="82"/>
        <v>0.23990635132509991</v>
      </c>
      <c r="CM31" s="355">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4" t="s">
        <v>1032</v>
      </c>
      <c r="ED31" s="369"/>
      <c r="EE31" s="369"/>
      <c r="EF31" s="369"/>
      <c r="EG31" s="369"/>
      <c r="EH31" s="369"/>
      <c r="EI31" s="369"/>
      <c r="EJ31" s="369"/>
      <c r="EK31" s="114"/>
      <c r="EM31" s="397"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8">
        <f t="shared" si="17"/>
        <v>-0.3529411764705882</v>
      </c>
    </row>
    <row r="32" spans="1:151" ht="15.75" thickBot="1" x14ac:dyDescent="0.3">
      <c r="A32" t="s">
        <v>4487</v>
      </c>
      <c r="B32" t="s">
        <v>2054</v>
      </c>
      <c r="C32" t="s">
        <v>2049</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4389</v>
      </c>
      <c r="AL32" s="377">
        <v>2</v>
      </c>
      <c r="AM32" s="377">
        <v>1</v>
      </c>
      <c r="AN32" s="377">
        <v>1</v>
      </c>
      <c r="AO32" s="377">
        <v>2</v>
      </c>
      <c r="AP32" s="377">
        <v>1</v>
      </c>
      <c r="AQ32" s="1044"/>
      <c r="AS32" s="1044"/>
      <c r="AT32" s="232" t="s">
        <v>246</v>
      </c>
      <c r="AU32" s="83" t="s">
        <v>517</v>
      </c>
      <c r="AV32" s="83" t="s">
        <v>518</v>
      </c>
      <c r="AW32" s="88">
        <v>2018</v>
      </c>
      <c r="AX32" s="88">
        <v>2020</v>
      </c>
      <c r="AY32" s="378">
        <v>2023</v>
      </c>
      <c r="BA32" s="17" t="s">
        <v>887</v>
      </c>
      <c r="BB32" s="782"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5"/>
        <v>0.48311634369443007</v>
      </c>
      <c r="BH32" s="60">
        <f t="shared" si="85"/>
        <v>0.50176077384491047</v>
      </c>
      <c r="BI32" s="60" cm="1">
        <f t="array" ref="BI32">1/AVERAGE(_xlfn._xlws.FILTER('Autonomie 2023 LDV'!$AM:$AM,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3049</v>
      </c>
      <c r="BW32" s="232" t="s">
        <v>246</v>
      </c>
      <c r="BX32" s="83">
        <v>2023</v>
      </c>
      <c r="BY32" s="88">
        <v>2025</v>
      </c>
      <c r="BZ32" s="88">
        <v>2030</v>
      </c>
      <c r="CA32" s="88">
        <v>2035</v>
      </c>
      <c r="CB32" s="88">
        <v>2040</v>
      </c>
      <c r="CC32" s="88">
        <v>2045</v>
      </c>
      <c r="CD32" s="378">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5">
        <f t="shared" si="82"/>
        <v>0.49282888408569003</v>
      </c>
      <c r="CM32" s="355">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4488</v>
      </c>
      <c r="B33" t="s">
        <v>2054</v>
      </c>
      <c r="C33" t="s">
        <v>2050</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4389</v>
      </c>
      <c r="AL33" s="377">
        <v>2</v>
      </c>
      <c r="AM33" s="377">
        <v>1</v>
      </c>
      <c r="AN33" s="377">
        <v>1</v>
      </c>
      <c r="AO33" s="377">
        <v>2</v>
      </c>
      <c r="AP33" s="377">
        <v>1</v>
      </c>
      <c r="AQ33" s="1044"/>
      <c r="AS33" s="1044"/>
      <c r="AT33" s="379" t="s">
        <v>17</v>
      </c>
      <c r="AX33" s="73"/>
      <c r="AY33" s="63"/>
      <c r="BA33" s="17" t="s">
        <v>889</v>
      </c>
      <c r="BB33" s="782"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5"/>
        <v>0.41754314042615115</v>
      </c>
      <c r="BH33" s="60">
        <f t="shared" si="85"/>
        <v>0.43539097679806832</v>
      </c>
      <c r="BI33" s="60" cm="1">
        <f t="array" ref="BI33">1/AVERAGE(_xlfn._xlws.FILTER('Autonomie 2023 LDV'!$AM:$AM, ('Autonomie 2023 LDV'!$A:$A=$BA33)*('Autonomie 2023 LDV'!$B:$B=BI$3)*('Autonomie 2023 LDV'!$D:$D="Small SUV")))</f>
        <v>0.45323881316998543</v>
      </c>
      <c r="BJ33" s="85">
        <f t="shared" si="86"/>
        <v>0.40057373837645988</v>
      </c>
      <c r="BL33" s="28" t="s">
        <v>17</v>
      </c>
      <c r="BM33" s="799"/>
      <c r="BN33" s="73"/>
      <c r="BO33" s="73"/>
      <c r="BP33" s="73"/>
      <c r="BQ33" s="73"/>
      <c r="BR33" s="73"/>
      <c r="BS33" s="73"/>
      <c r="BT33" s="73"/>
      <c r="BW33" s="379"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5">
        <f t="shared" ref="CL33:CM33" si="87">($CN33-$CK33)/3 + CK33</f>
        <v>0.57193937644414727</v>
      </c>
      <c r="CM33" s="355">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87" t="s">
        <v>4030</v>
      </c>
      <c r="CR33" s="1087"/>
      <c r="CS33" s="1087"/>
      <c r="CT33" s="1087"/>
      <c r="CU33" s="1087"/>
      <c r="CV33" s="1087"/>
      <c r="CW33" s="1087"/>
      <c r="CX33" s="1087"/>
      <c r="CY33" s="1087"/>
      <c r="DJ33" s="1098" t="s">
        <v>959</v>
      </c>
      <c r="DK33" s="1098"/>
      <c r="DL33" s="159"/>
      <c r="DM33" s="1098" t="s">
        <v>1165</v>
      </c>
      <c r="DN33" s="1098"/>
      <c r="DO33" s="159"/>
      <c r="DP33" s="1098" t="s">
        <v>1166</v>
      </c>
      <c r="DQ33" s="1098"/>
      <c r="DR33" s="1098"/>
      <c r="EC33" s="379" t="s">
        <v>1026</v>
      </c>
      <c r="ED33" s="73"/>
      <c r="EE33" s="73"/>
      <c r="EF33" s="73"/>
      <c r="EG33" s="73"/>
      <c r="EH33" s="73"/>
      <c r="EI33" s="73"/>
      <c r="EJ33" s="73"/>
      <c r="EK33" s="114"/>
      <c r="EM33" s="386" t="s">
        <v>1052</v>
      </c>
      <c r="EN33" s="369"/>
      <c r="EO33" s="369"/>
      <c r="EP33" s="369"/>
      <c r="EQ33" s="369"/>
      <c r="ER33" s="369"/>
      <c r="ES33" s="369"/>
      <c r="ET33" s="369"/>
      <c r="EU33" s="63"/>
    </row>
    <row r="34" spans="1:151" ht="21.75" thickBot="1" x14ac:dyDescent="0.4">
      <c r="A34" t="s">
        <v>4461</v>
      </c>
      <c r="B34" t="s">
        <v>2058</v>
      </c>
      <c r="C34" t="s">
        <v>2051</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4027</v>
      </c>
      <c r="AL34" s="377">
        <v>2</v>
      </c>
      <c r="AM34" s="377">
        <v>1</v>
      </c>
      <c r="AN34" s="377">
        <v>2</v>
      </c>
      <c r="AO34" s="377">
        <v>1</v>
      </c>
      <c r="AP34" s="377">
        <v>2</v>
      </c>
      <c r="AQ34" s="1044"/>
      <c r="AS34" s="1044"/>
      <c r="AT34" s="381" t="s">
        <v>108</v>
      </c>
      <c r="AU34" s="297">
        <f>1/(AU5*GSL_PJ_ML*10)</f>
        <v>0.26867771677234464</v>
      </c>
      <c r="AV34" s="297">
        <f>1/(AV5*GSL_PJ_ML*10)</f>
        <v>0.29685433532467453</v>
      </c>
      <c r="AW34" s="297">
        <f>1/(AW5*GSL_PJ_ML*10)</f>
        <v>0.31869664675355813</v>
      </c>
      <c r="AX34" s="297">
        <f>1/(AX5*GSL_PJ_ML*10)</f>
        <v>0.31865418152609742</v>
      </c>
      <c r="AY34" s="437">
        <f>1/(AY5*GSL_PJ_ML*10)</f>
        <v>0.31604202324994979</v>
      </c>
      <c r="BA34" s="17" t="s">
        <v>3001</v>
      </c>
      <c r="BB34" s="782"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5"/>
        <v>0.56323633885026514</v>
      </c>
      <c r="BH34" s="60">
        <f t="shared" si="85"/>
        <v>0.59658830633470494</v>
      </c>
      <c r="BI34" s="60" cm="1">
        <f t="array" ref="BI34">1/AVERAGE(_xlfn._xlws.FILTER('Autonomie 2023 LDV'!$AM:$AM, ('Autonomie 2023 LDV'!$A:$A=$BA34)*('Autonomie 2023 LDV'!$B:$B=BI$3)*('Autonomie 2023 LDV'!$D:$D="Small SUV")))</f>
        <v>0.62994027381914486</v>
      </c>
      <c r="BJ34" s="85">
        <f t="shared" si="86"/>
        <v>0.37677229707758331</v>
      </c>
      <c r="BK34" s="73"/>
      <c r="BL34" s="17" t="s">
        <v>890</v>
      </c>
      <c r="BM34" s="113">
        <f t="shared" ref="BM34:BN44" si="89">BB5*$AW$63+BB18*$AW$64</f>
        <v>0.36009104760838728</v>
      </c>
      <c r="BN34" s="73">
        <f>BC5*$AW$63+BC18*$AW$64</f>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1"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5">
        <f t="shared" ref="CL34:CM34" si="98">($CN34-$CK34)/3 + CK34</f>
        <v>0.31839328143943296</v>
      </c>
      <c r="CM34" s="355">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93" t="s">
        <v>2141</v>
      </c>
      <c r="DB34" s="1094"/>
      <c r="DC34" s="1094"/>
      <c r="DD34" s="1094"/>
      <c r="DE34" s="1094"/>
      <c r="DF34" s="1094"/>
      <c r="DG34" s="1094"/>
      <c r="DH34" s="1095"/>
      <c r="DJ34" s="104" t="s">
        <v>576</v>
      </c>
      <c r="DK34" s="104">
        <v>2021</v>
      </c>
      <c r="DM34" s="104" t="s">
        <v>576</v>
      </c>
      <c r="DN34" s="104">
        <v>2019</v>
      </c>
      <c r="DP34" s="104" t="s">
        <v>576</v>
      </c>
      <c r="DQ34" s="104">
        <v>2015</v>
      </c>
      <c r="DR34" s="104">
        <v>2030</v>
      </c>
      <c r="EC34" s="396"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4462</v>
      </c>
      <c r="B35" s="68" t="s">
        <v>2059</v>
      </c>
      <c r="C35" s="68" t="s">
        <v>2051</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1969</v>
      </c>
      <c r="AL35" s="734">
        <v>2</v>
      </c>
      <c r="AM35" s="734">
        <v>1</v>
      </c>
      <c r="AN35" s="734">
        <v>2</v>
      </c>
      <c r="AO35" s="734">
        <v>1</v>
      </c>
      <c r="AP35" s="734">
        <v>1</v>
      </c>
      <c r="AQ35" s="1044"/>
      <c r="AS35" s="1044"/>
      <c r="AT35" s="381" t="s">
        <v>107</v>
      </c>
      <c r="AU35" s="297">
        <f t="shared" ref="AU35:AW37" si="100">1/(AU6*GSL_PJ_ML*10)</f>
        <v>0.38639831040120187</v>
      </c>
      <c r="AV35" s="297">
        <f t="shared" si="100"/>
        <v>0.38385622328290131</v>
      </c>
      <c r="AW35" s="297">
        <f t="shared" si="100"/>
        <v>0.44433535506921357</v>
      </c>
      <c r="AX35" s="73"/>
      <c r="AY35" s="380"/>
      <c r="BA35" s="17" t="s">
        <v>4423</v>
      </c>
      <c r="BB35" s="782"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5"/>
        <v>0.92546457298490525</v>
      </c>
      <c r="BH35" s="60">
        <f t="shared" si="85"/>
        <v>0.97436203826010115</v>
      </c>
      <c r="BI35" s="60" cm="1">
        <f t="array" ref="BI35">1/AVERAGE(_xlfn._xlws.FILTER('Autonomie 2023 LDV'!$AM:$AM,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1"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5">
        <f t="shared" ref="CL35:CM35" si="101">($CN35-$CK35)/3 + CK35</f>
        <v>0.27324426072372232</v>
      </c>
      <c r="CM35" s="355">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6" t="s">
        <v>1930</v>
      </c>
      <c r="CR35" s="369"/>
      <c r="CS35" s="369"/>
      <c r="CT35" s="369"/>
      <c r="CU35" s="369"/>
      <c r="CV35" s="369"/>
      <c r="CW35" s="369"/>
      <c r="CX35" s="369"/>
      <c r="DA35" s="1096" t="s">
        <v>4014</v>
      </c>
      <c r="DB35" s="1037"/>
      <c r="DC35" s="1037"/>
      <c r="DD35" s="1037"/>
      <c r="DE35" s="1037"/>
      <c r="DF35" s="1037"/>
      <c r="DG35" s="1037"/>
      <c r="DH35" s="1097"/>
      <c r="DJ35" s="28" t="s">
        <v>640</v>
      </c>
      <c r="DM35" t="s">
        <v>79</v>
      </c>
      <c r="DN35" s="80">
        <f>1/'Background Data'!V133</f>
        <v>0.74854949820984384</v>
      </c>
      <c r="DP35" s="28" t="s">
        <v>638</v>
      </c>
      <c r="EC35" s="381"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2053</v>
      </c>
      <c r="C36" t="s">
        <v>2038</v>
      </c>
      <c r="D36" t="s">
        <v>95</v>
      </c>
      <c r="E36" t="s">
        <v>4050</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4065</v>
      </c>
      <c r="AL36" s="377">
        <v>3</v>
      </c>
      <c r="AM36" s="377">
        <v>1</v>
      </c>
      <c r="AN36" s="377">
        <v>1</v>
      </c>
      <c r="AO36" s="377">
        <v>3</v>
      </c>
      <c r="AP36" s="377">
        <v>1</v>
      </c>
      <c r="AQ36" s="1044"/>
      <c r="AS36" s="1044"/>
      <c r="AT36" s="381" t="s">
        <v>240</v>
      </c>
      <c r="AU36" s="297">
        <f t="shared" si="100"/>
        <v>0.1984434223728018</v>
      </c>
      <c r="AV36" s="297">
        <f t="shared" si="100"/>
        <v>0.22073616606467941</v>
      </c>
      <c r="AW36" s="297">
        <f t="shared" si="100"/>
        <v>0.19845154790886324</v>
      </c>
      <c r="AX36" s="297">
        <f>1/(AX7*GSL_PJ_ML*10)</f>
        <v>0.20265367532520429</v>
      </c>
      <c r="AY36" s="380"/>
      <c r="BA36" s="17" t="s">
        <v>4424</v>
      </c>
      <c r="BB36" s="782"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5"/>
        <v>1.0420806719923137</v>
      </c>
      <c r="BH36" s="60">
        <f t="shared" si="85"/>
        <v>1.0801377538780408</v>
      </c>
      <c r="BI36" s="60" cm="1">
        <f t="array" ref="BI36">1/AVERAGE(_xlfn._xlws.FILTER('Autonomie 2023 LDV'!$AM:$AM,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5" t="s">
        <v>1949</v>
      </c>
      <c r="BX36" s="390">
        <f t="shared" ref="BX36:CD36" si="104">BN36/BN34</f>
        <v>1.0758492742759971</v>
      </c>
      <c r="BY36" s="390">
        <f t="shared" si="104"/>
        <v>1.0661497027813085</v>
      </c>
      <c r="BZ36" s="390">
        <f t="shared" si="104"/>
        <v>1.0582956198200288</v>
      </c>
      <c r="CA36" s="390">
        <f t="shared" si="104"/>
        <v>1.0193681702916706</v>
      </c>
      <c r="CB36" s="390">
        <f t="shared" si="104"/>
        <v>1.0146293413328558</v>
      </c>
      <c r="CC36" s="390">
        <f t="shared" si="104"/>
        <v>1.0103220548247385</v>
      </c>
      <c r="CD36" s="391">
        <f t="shared" si="104"/>
        <v>1.006389930167523</v>
      </c>
      <c r="CE36" s="60"/>
      <c r="CF36">
        <v>6</v>
      </c>
      <c r="CG36" s="28" t="s">
        <v>3996</v>
      </c>
      <c r="CO36" s="85"/>
      <c r="CP36" s="80"/>
      <c r="CQ36" s="88" t="s">
        <v>246</v>
      </c>
      <c r="CR36" s="88">
        <v>2023</v>
      </c>
      <c r="CS36" s="88">
        <v>2025</v>
      </c>
      <c r="CT36" s="88">
        <v>2030</v>
      </c>
      <c r="CU36" s="88">
        <v>2035</v>
      </c>
      <c r="CV36" s="83" t="s">
        <v>922</v>
      </c>
      <c r="CW36" s="83" t="s">
        <v>923</v>
      </c>
      <c r="CX36" s="88">
        <v>2050</v>
      </c>
      <c r="CY36" s="28" t="s">
        <v>3049</v>
      </c>
      <c r="DA36" s="232" t="s">
        <v>246</v>
      </c>
      <c r="DB36" s="83">
        <v>2021</v>
      </c>
      <c r="DC36" s="88">
        <v>2025</v>
      </c>
      <c r="DD36" s="88">
        <v>2030</v>
      </c>
      <c r="DE36" s="88">
        <v>2035</v>
      </c>
      <c r="DF36" s="88">
        <v>2040</v>
      </c>
      <c r="DG36" s="88">
        <v>2045</v>
      </c>
      <c r="DH36" s="378">
        <v>2050</v>
      </c>
      <c r="DJ36" s="17" t="s">
        <v>610</v>
      </c>
      <c r="DK36" s="434">
        <f>1/(AVERAGE('GREET-AFLEET Data'!B35:B37)*90.7185/1000)</f>
        <v>0.80048180185528828</v>
      </c>
      <c r="DL36" s="80"/>
      <c r="DM36" t="s">
        <v>80</v>
      </c>
      <c r="DN36" s="80">
        <f>1/'Background Data'!V134</f>
        <v>0.4250641634354706</v>
      </c>
      <c r="DP36" s="17" t="s">
        <v>643</v>
      </c>
      <c r="DQ36" s="73">
        <f>'OEO &amp; EPAUS9rT Data'!J6*km_mile</f>
        <v>0.72657897897948176</v>
      </c>
      <c r="EC36" s="381"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7"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8">
        <f>(ET36-EN36)/EN36</f>
        <v>0.74257425742574279</v>
      </c>
    </row>
    <row r="37" spans="1:151" ht="15.75" thickTop="1" x14ac:dyDescent="0.25">
      <c r="A37" t="s">
        <v>1005</v>
      </c>
      <c r="B37" t="s">
        <v>2054</v>
      </c>
      <c r="C37" t="s">
        <v>2038</v>
      </c>
      <c r="D37" t="s">
        <v>95</v>
      </c>
      <c r="E37" t="s">
        <v>4050</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4065</v>
      </c>
      <c r="AL37" s="377">
        <v>3</v>
      </c>
      <c r="AM37" s="377">
        <v>1</v>
      </c>
      <c r="AN37" s="377">
        <v>1</v>
      </c>
      <c r="AO37" s="377">
        <v>3</v>
      </c>
      <c r="AP37" s="377">
        <v>1</v>
      </c>
      <c r="AQ37" s="1044"/>
      <c r="AS37" s="1044"/>
      <c r="AT37" s="381" t="s">
        <v>516</v>
      </c>
      <c r="AU37" s="297">
        <f t="shared" si="100"/>
        <v>0.46772996508691828</v>
      </c>
      <c r="AV37" s="297">
        <f t="shared" si="100"/>
        <v>0.44274607227010043</v>
      </c>
      <c r="AW37" s="297">
        <f t="shared" si="100"/>
        <v>0.40407608531854194</v>
      </c>
      <c r="AX37" s="297">
        <f>1/(AX8*GSL_PJ_ML*10)</f>
        <v>0.58656291803345872</v>
      </c>
      <c r="AY37" s="437">
        <f>1/(AY8*GSL_PJ_ML*10)</f>
        <v>0.59791109545835419</v>
      </c>
      <c r="BA37" s="17" t="s">
        <v>2997</v>
      </c>
      <c r="BB37" s="782"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5"/>
        <v>1.828833549936717</v>
      </c>
      <c r="BH37" s="60">
        <f t="shared" si="85"/>
        <v>1.8880464531566863</v>
      </c>
      <c r="BI37" s="60" cm="1">
        <f t="array" ref="BI37">1/AVERAGE(_xlfn._xlws.FILTER('Autonomie 2023 LDV'!$AM:$AM, ('Autonomie 2023 LDV'!$A:$A=$BA37)*('Autonomie 2023 LDV'!$B:$B=BI$3)*('Autonomie 2023 LDV'!$D:$D="Small SUV")))</f>
        <v>1.9472593563766554</v>
      </c>
      <c r="BJ37" s="85">
        <f t="shared" si="86"/>
        <v>0.30174919332565991</v>
      </c>
      <c r="BL37" s="17" t="s">
        <v>3001</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1" t="s">
        <v>3001</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5">
        <f t="shared" ref="CL37:CM40" si="113">($CN37-$CK37)/3 + CK37</f>
        <v>0.17105359029459649</v>
      </c>
      <c r="CM37" s="355">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4006</v>
      </c>
      <c r="DA37" s="379" t="s">
        <v>4006</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1"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7"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8">
        <f t="shared" ref="EU37:EU62" si="115">(ET37-EN37)/EN37</f>
        <v>0.84154929577464821</v>
      </c>
    </row>
    <row r="38" spans="1:151" x14ac:dyDescent="0.25">
      <c r="A38" t="s">
        <v>1006</v>
      </c>
      <c r="B38" t="s">
        <v>2055</v>
      </c>
      <c r="C38" t="s">
        <v>2038</v>
      </c>
      <c r="D38" t="s">
        <v>95</v>
      </c>
      <c r="E38" t="s">
        <v>4050</v>
      </c>
      <c r="F38">
        <v>2023</v>
      </c>
      <c r="G38" s="52" t="s">
        <v>284</v>
      </c>
      <c r="H38" s="59"/>
      <c r="I38" s="59"/>
      <c r="J38" s="59"/>
      <c r="K38" s="561"/>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4065</v>
      </c>
      <c r="AL38" s="377">
        <v>3</v>
      </c>
      <c r="AM38" s="377">
        <v>1</v>
      </c>
      <c r="AN38" s="377">
        <v>1</v>
      </c>
      <c r="AO38" s="377">
        <v>3</v>
      </c>
      <c r="AP38" s="377">
        <v>1</v>
      </c>
      <c r="AQ38" s="1044"/>
      <c r="AS38" s="1044"/>
      <c r="AT38" s="381" t="s">
        <v>4463</v>
      </c>
      <c r="AU38" s="73"/>
      <c r="AV38" s="297">
        <f>1/(AV9*GSL_PJ_ML*10)</f>
        <v>0.94184957332008434</v>
      </c>
      <c r="AW38" s="297">
        <f>1/(AW9*GSL_PJ_ML*10)</f>
        <v>0.94184957332008434</v>
      </c>
      <c r="AX38" s="297">
        <f>1/(AX9*GSL_PJ_ML*10)</f>
        <v>0.94184957332008434</v>
      </c>
      <c r="AY38" s="437">
        <f>1/(AY9*GSL_PJ_ML*10)</f>
        <v>0.94184957332008434</v>
      </c>
      <c r="BA38" s="17" t="s">
        <v>883</v>
      </c>
      <c r="BB38" s="782"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5"/>
        <v>1.7866089205134303</v>
      </c>
      <c r="BH38" s="60">
        <f t="shared" si="85"/>
        <v>1.861930252469852</v>
      </c>
      <c r="BI38" s="60" cm="1">
        <f t="array" ref="BI38">1/AVERAGE(_xlfn._xlws.FILTER('Autonomie 2023 LDV'!$AM:$AM, ('Autonomie 2023 LDV'!$A:$A=$BA38)*('Autonomie 2023 LDV'!$B:$B=BI$3)*('Autonomie 2023 LDV'!$D:$D="Small SUV")))</f>
        <v>1.9372515844262737</v>
      </c>
      <c r="BJ38" s="85">
        <f t="shared" si="86"/>
        <v>0.3376992691228069</v>
      </c>
      <c r="BL38" s="17" t="s">
        <v>4423</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1" t="s">
        <v>4423</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3979</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5">
        <f t="shared" si="113"/>
        <v>0.14183384909637442</v>
      </c>
      <c r="CM38" s="355">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1"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4">
        <f>1/(AVERAGE('GREET-AFLEET Data'!B61:B63)*90.7185/1000)</f>
        <v>0.80245585137227049</v>
      </c>
      <c r="DM38" t="s">
        <v>66</v>
      </c>
      <c r="DN38" s="80">
        <f>1/'Background Data'!V136</f>
        <v>4.7092730295224321</v>
      </c>
      <c r="DP38" s="17" t="s">
        <v>648</v>
      </c>
      <c r="DQ38" s="73">
        <f>'OEO &amp; EPAUS9rT Data'!J8*km_mile</f>
        <v>0.76081568479526895</v>
      </c>
      <c r="EC38" s="381"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7"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8">
        <f t="shared" si="115"/>
        <v>0.76818181818181774</v>
      </c>
    </row>
    <row r="39" spans="1:151" x14ac:dyDescent="0.25">
      <c r="A39" t="s">
        <v>1007</v>
      </c>
      <c r="B39" t="s">
        <v>2053</v>
      </c>
      <c r="C39" t="s">
        <v>2038</v>
      </c>
      <c r="D39" t="s">
        <v>95</v>
      </c>
      <c r="E39" t="s">
        <v>4050</v>
      </c>
      <c r="F39">
        <v>2023</v>
      </c>
      <c r="G39" s="52" t="s">
        <v>284</v>
      </c>
      <c r="H39" s="59"/>
      <c r="I39" s="59"/>
      <c r="J39" s="59"/>
      <c r="K39" s="561"/>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4065</v>
      </c>
      <c r="AL39" s="377">
        <v>3</v>
      </c>
      <c r="AM39" s="377">
        <v>1</v>
      </c>
      <c r="AN39" s="377">
        <v>1</v>
      </c>
      <c r="AO39" s="377">
        <v>3</v>
      </c>
      <c r="AP39" s="377">
        <v>1</v>
      </c>
      <c r="AQ39" s="1044"/>
      <c r="AS39" s="1044"/>
      <c r="AT39" s="381" t="s">
        <v>4464</v>
      </c>
      <c r="AV39" s="73">
        <f>1/(AV10*GSL_PJ_ML*10)</f>
        <v>1.1296401357288486</v>
      </c>
      <c r="AW39" s="73">
        <f>1/(AW10*GSL_PJ_ML*10)</f>
        <v>1.1296401357288486</v>
      </c>
      <c r="AX39" s="73">
        <f>1/(AX10*GSL_PJ_ML*10)</f>
        <v>1.1296401357288486</v>
      </c>
      <c r="AY39" s="380">
        <f>1/(AY10*GSL_PJ_ML*10)</f>
        <v>1.1296401357288486</v>
      </c>
      <c r="BA39" s="17" t="s">
        <v>884</v>
      </c>
      <c r="BB39" s="782"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5"/>
        <v>1.7486721354532955</v>
      </c>
      <c r="BH39" s="60">
        <f t="shared" si="85"/>
        <v>1.8026419132579121</v>
      </c>
      <c r="BI39" s="60" cm="1">
        <f t="array" ref="BI39">1/AVERAGE(_xlfn._xlws.FILTER('Autonomie 2023 LDV'!$AM:$AM, ('Autonomie 2023 LDV'!$A:$A=$BA39)*('Autonomie 2023 LDV'!$B:$B=BI$3)*('Autonomie 2023 LDV'!$D:$D="Small SUV")))</f>
        <v>1.8566116910625285</v>
      </c>
      <c r="BJ39" s="85">
        <f t="shared" si="86"/>
        <v>0.32853102742954621</v>
      </c>
      <c r="BL39" s="17" t="s">
        <v>4424</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5" t="s">
        <v>4425</v>
      </c>
      <c r="BX39" s="390">
        <f t="shared" ref="BX39:CD39" si="121">BN39/BN38</f>
        <v>1.1637655976948087</v>
      </c>
      <c r="BY39" s="390">
        <f t="shared" si="121"/>
        <v>1.1328952936575278</v>
      </c>
      <c r="BZ39" s="390">
        <f t="shared" si="121"/>
        <v>1.1143400725622776</v>
      </c>
      <c r="CA39" s="390">
        <f t="shared" si="121"/>
        <v>1.1140983483244447</v>
      </c>
      <c r="CB39" s="390">
        <f t="shared" si="121"/>
        <v>1.1222313241426147</v>
      </c>
      <c r="CC39" s="390">
        <f t="shared" si="121"/>
        <v>1.1297683738161597</v>
      </c>
      <c r="CD39" s="391">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5">
        <f t="shared" si="113"/>
        <v>0.16437997447839636</v>
      </c>
      <c r="CM39" s="355">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4007</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1"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1"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7"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8">
        <f t="shared" si="115"/>
        <v>0.75384615384615428</v>
      </c>
    </row>
    <row r="40" spans="1:151" x14ac:dyDescent="0.25">
      <c r="A40" t="s">
        <v>4390</v>
      </c>
      <c r="B40" t="s">
        <v>4490</v>
      </c>
      <c r="C40" t="s">
        <v>2038</v>
      </c>
      <c r="D40" t="s">
        <v>95</v>
      </c>
      <c r="E40" t="s">
        <v>4050</v>
      </c>
      <c r="F40">
        <v>2023</v>
      </c>
      <c r="G40" s="52" t="s">
        <v>284</v>
      </c>
      <c r="H40" s="59"/>
      <c r="I40" s="59"/>
      <c r="J40" s="59"/>
      <c r="K40" s="561"/>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4066</v>
      </c>
      <c r="AL40" s="377">
        <v>3</v>
      </c>
      <c r="AM40" s="377">
        <v>1</v>
      </c>
      <c r="AN40" s="377">
        <v>1</v>
      </c>
      <c r="AO40" s="377">
        <v>3</v>
      </c>
      <c r="AP40" s="377">
        <v>1</v>
      </c>
      <c r="AQ40" s="1044"/>
      <c r="AS40" s="1044"/>
      <c r="AT40" s="381" t="s">
        <v>4465</v>
      </c>
      <c r="AV40" s="297">
        <f t="shared" ref="AV40:AY42" si="131">1/(AV11*ELC_PJ_MkWh*10)</f>
        <v>1.4666494496527613</v>
      </c>
      <c r="AW40" s="297">
        <f t="shared" si="131"/>
        <v>1.4666494496527613</v>
      </c>
      <c r="AX40" s="297">
        <f t="shared" si="131"/>
        <v>1.4666494496527613</v>
      </c>
      <c r="AY40" s="437">
        <f t="shared" si="131"/>
        <v>1.4666494496527613</v>
      </c>
      <c r="BA40" s="17" t="s">
        <v>885</v>
      </c>
      <c r="BB40" s="782"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5"/>
        <v>1.5595689080651491</v>
      </c>
      <c r="BH40" s="60">
        <f t="shared" si="85"/>
        <v>1.6238159229569271</v>
      </c>
      <c r="BI40" s="60" cm="1">
        <f t="array" ref="BI40">1/AVERAGE(_xlfn._xlws.FILTER('Autonomie 2023 LDV'!$AM:$AM, ('Autonomie 2023 LDV'!$A:$A=$BA40)*('Autonomie 2023 LDV'!$B:$B=BI$3)*('Autonomie 2023 LDV'!$D:$D="Small SUV")))</f>
        <v>1.6880629378487051</v>
      </c>
      <c r="BJ40" s="85">
        <f t="shared" si="86"/>
        <v>0.35168814188196784</v>
      </c>
      <c r="BL40" s="17" t="s">
        <v>2997</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1" t="s">
        <v>2997</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5">
        <f t="shared" si="113"/>
        <v>0.29527627520617161</v>
      </c>
      <c r="CM40" s="355">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5" t="s">
        <v>1953</v>
      </c>
      <c r="DB40" s="390">
        <f>CR40/CR$38</f>
        <v>1.0895114582257883</v>
      </c>
      <c r="DC40" s="390">
        <f t="shared" ref="DC40:DH40" si="139">CS40/CS$38</f>
        <v>1.099850734567704</v>
      </c>
      <c r="DD40" s="390">
        <f t="shared" si="139"/>
        <v>1.1091664802299204</v>
      </c>
      <c r="DE40" s="390">
        <f t="shared" si="139"/>
        <v>1.1199327546484252</v>
      </c>
      <c r="DF40" s="390">
        <f t="shared" si="139"/>
        <v>1.1247312857469309</v>
      </c>
      <c r="DG40" s="390">
        <f t="shared" si="139"/>
        <v>1.1292094693725208</v>
      </c>
      <c r="DH40" s="391">
        <f t="shared" si="139"/>
        <v>1.133398348662513</v>
      </c>
      <c r="DJ40" s="17" t="s">
        <v>610</v>
      </c>
      <c r="DK40" s="60">
        <f>1/(AVERAGE('GREET-AFLEET Data'!B43:B45))</f>
        <v>0.10874873263932852</v>
      </c>
      <c r="DL40" s="80"/>
      <c r="DM40" s="61" t="s">
        <v>2219</v>
      </c>
      <c r="DN40" s="214"/>
      <c r="DP40" s="17" t="s">
        <v>646</v>
      </c>
      <c r="DQ40" s="73">
        <f>'OEO &amp; EPAUS9rT Data'!J14*km_mile</f>
        <v>0.83037597597655055</v>
      </c>
      <c r="EC40" s="381"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7"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8">
        <f t="shared" si="115"/>
        <v>0.89062499999999978</v>
      </c>
    </row>
    <row r="41" spans="1:151" x14ac:dyDescent="0.25">
      <c r="A41" t="s">
        <v>1009</v>
      </c>
      <c r="B41" t="s">
        <v>2061</v>
      </c>
      <c r="C41" t="s">
        <v>2038</v>
      </c>
      <c r="D41" t="s">
        <v>95</v>
      </c>
      <c r="E41" t="s">
        <v>4050</v>
      </c>
      <c r="F41">
        <v>2023</v>
      </c>
      <c r="G41" s="52" t="s">
        <v>284</v>
      </c>
      <c r="H41" s="59"/>
      <c r="I41" s="59"/>
      <c r="J41" s="59"/>
      <c r="K41" s="561"/>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4066</v>
      </c>
      <c r="AL41" s="377">
        <v>3</v>
      </c>
      <c r="AM41" s="377">
        <v>1</v>
      </c>
      <c r="AN41" s="377">
        <v>1</v>
      </c>
      <c r="AO41" s="377">
        <v>3</v>
      </c>
      <c r="AP41" s="377">
        <v>1</v>
      </c>
      <c r="AQ41" s="1044"/>
      <c r="AS41" s="1044"/>
      <c r="AT41" s="381" t="s">
        <v>4466</v>
      </c>
      <c r="AV41" s="73">
        <f t="shared" si="131"/>
        <v>1.1416886339675409</v>
      </c>
      <c r="AW41" s="73">
        <f t="shared" si="131"/>
        <v>1.1416886339675409</v>
      </c>
      <c r="AX41" s="73">
        <f t="shared" si="131"/>
        <v>1.1416886339675409</v>
      </c>
      <c r="AY41" s="380">
        <f t="shared" si="131"/>
        <v>1.1416886339675409</v>
      </c>
      <c r="BA41" s="17" t="s">
        <v>567</v>
      </c>
      <c r="BB41" s="782"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5"/>
        <v>0.78890283332368016</v>
      </c>
      <c r="BH41" s="60">
        <f t="shared" si="85"/>
        <v>0.80518612868742123</v>
      </c>
      <c r="BI41" s="60" cm="1">
        <f t="array" ref="BI41">1/AVERAGE(_xlfn._xlws.FILTER('Autonomie 2023 LDV'!$AM:$AM,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5" t="s">
        <v>3035</v>
      </c>
      <c r="BX41" s="390">
        <f t="shared" ref="BX41:CD41" si="142">BN41/BN40</f>
        <v>0.98121285586625673</v>
      </c>
      <c r="BY41" s="390">
        <f t="shared" si="142"/>
        <v>0.97559979213342507</v>
      </c>
      <c r="BZ41" s="390">
        <f t="shared" si="142"/>
        <v>0.9974331090511851</v>
      </c>
      <c r="CA41" s="390">
        <f t="shared" si="142"/>
        <v>0.97930610724207823</v>
      </c>
      <c r="CB41" s="390">
        <f t="shared" si="142"/>
        <v>0.98460098140588437</v>
      </c>
      <c r="CC41" s="390">
        <f t="shared" si="142"/>
        <v>0.98957759392982503</v>
      </c>
      <c r="CD41" s="391">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5">
        <f t="shared" ref="CL41:CM41" si="143">($CN41-$CK41)/3 + CK41</f>
        <v>0.41248245064610717</v>
      </c>
      <c r="CM41" s="355">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5" t="s">
        <v>1954</v>
      </c>
      <c r="DB41" s="390">
        <f t="shared" ref="DB41:DB44" si="144">CR41/CR$38</f>
        <v>1.8866085057227553</v>
      </c>
      <c r="DC41" s="390">
        <f t="shared" ref="DC41:DC44" si="145">CS41/CS$38</f>
        <v>1.8753953192121835</v>
      </c>
      <c r="DD41" s="390">
        <f t="shared" ref="DD41:DD44" si="146">CT41/CT$38</f>
        <v>1.8580397004797691</v>
      </c>
      <c r="DE41" s="390">
        <f t="shared" ref="DE41:DE44" si="147">CU41/CU$38</f>
        <v>1.8795869572203139</v>
      </c>
      <c r="DF41" s="390">
        <f t="shared" ref="DF41:DF44" si="148">CV41/CV$38</f>
        <v>1.8851515552229445</v>
      </c>
      <c r="DG41" s="390">
        <f t="shared" ref="DG41:DG44" si="149">CW41/CW$38</f>
        <v>1.8903446635193839</v>
      </c>
      <c r="DH41" s="391">
        <f t="shared" ref="DH41:DH44" si="150">CX41/CX$38</f>
        <v>1.8952022811635851</v>
      </c>
      <c r="DJ41" s="17" t="s">
        <v>611</v>
      </c>
      <c r="DK41" s="60">
        <f>1/(AVERAGE('GREET-AFLEET Data'!B56:B58))</f>
        <v>0.10907596052089122</v>
      </c>
      <c r="DM41" s="214"/>
      <c r="DN41" s="214"/>
      <c r="DP41" s="17" t="s">
        <v>647</v>
      </c>
      <c r="DR41" s="73">
        <f>'OEO &amp; EPAUS9rT Data'!J11*km_mile</f>
        <v>1.0379699699706884</v>
      </c>
      <c r="EC41" s="381"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7"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8">
        <f t="shared" si="115"/>
        <v>0.80898876404494435</v>
      </c>
    </row>
    <row r="42" spans="1:151" x14ac:dyDescent="0.25">
      <c r="A42" t="s">
        <v>4395</v>
      </c>
      <c r="B42" t="s">
        <v>4772</v>
      </c>
      <c r="C42" t="s">
        <v>4761</v>
      </c>
      <c r="D42" t="s">
        <v>95</v>
      </c>
      <c r="E42" t="s">
        <v>4050</v>
      </c>
      <c r="F42">
        <v>2023</v>
      </c>
      <c r="G42" s="52" t="s">
        <v>284</v>
      </c>
      <c r="H42" s="59"/>
      <c r="I42" s="59"/>
      <c r="J42" s="59"/>
      <c r="K42" s="561"/>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4065</v>
      </c>
      <c r="AL42" s="377">
        <v>3</v>
      </c>
      <c r="AM42" s="377">
        <v>1</v>
      </c>
      <c r="AN42" s="377">
        <v>1</v>
      </c>
      <c r="AO42" s="377">
        <v>3</v>
      </c>
      <c r="AP42" s="377">
        <v>1</v>
      </c>
      <c r="AQ42" s="1044"/>
      <c r="AS42" s="1044"/>
      <c r="AT42" s="381" t="s">
        <v>4467</v>
      </c>
      <c r="AV42" s="73">
        <f t="shared" si="131"/>
        <v>1.6076308823391023</v>
      </c>
      <c r="AW42" s="73">
        <f t="shared" si="131"/>
        <v>1.6076308823391023</v>
      </c>
      <c r="AX42" s="73">
        <f t="shared" si="131"/>
        <v>1.6076308823391023</v>
      </c>
      <c r="AY42" s="380">
        <f t="shared" si="131"/>
        <v>1.6076308823391023</v>
      </c>
      <c r="BA42" s="17"/>
      <c r="BB42" s="800"/>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V42" s="73">
        <f>BN42/BN40</f>
        <v>0.93723348264664874</v>
      </c>
      <c r="BW42" s="395" t="s">
        <v>1950</v>
      </c>
      <c r="BX42" s="390">
        <f t="shared" ref="BX42:CD42" si="152">BN42/BN40</f>
        <v>0.93723348264664874</v>
      </c>
      <c r="BY42" s="390">
        <f t="shared" si="152"/>
        <v>0.95143723966550364</v>
      </c>
      <c r="BZ42" s="390">
        <f t="shared" si="152"/>
        <v>0.95064232944585514</v>
      </c>
      <c r="CA42" s="390">
        <f t="shared" si="152"/>
        <v>0.93257983518888143</v>
      </c>
      <c r="CB42" s="390">
        <f t="shared" si="152"/>
        <v>0.9439681989053198</v>
      </c>
      <c r="CC42" s="390">
        <f t="shared" si="152"/>
        <v>0.95467203656889132</v>
      </c>
      <c r="CD42" s="391">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5">
        <f t="shared" ref="CL42:CM42" si="153">($CN42-$CK42)/3 + CK42</f>
        <v>0.21806303221194903</v>
      </c>
      <c r="CM42" s="355">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5" t="s">
        <v>1955</v>
      </c>
      <c r="DB42" s="390">
        <f t="shared" si="144"/>
        <v>2.7113581986931368</v>
      </c>
      <c r="DC42" s="390">
        <f t="shared" si="145"/>
        <v>2.6675534851796883</v>
      </c>
      <c r="DD42" s="390">
        <f t="shared" si="146"/>
        <v>2.6223149133812949</v>
      </c>
      <c r="DE42" s="390">
        <f t="shared" si="147"/>
        <v>2.630855875636116</v>
      </c>
      <c r="DF42" s="390">
        <f t="shared" si="148"/>
        <v>2.6317536296938639</v>
      </c>
      <c r="DG42" s="390">
        <f t="shared" si="149"/>
        <v>2.6325914501515588</v>
      </c>
      <c r="DH42" s="391">
        <f t="shared" si="150"/>
        <v>2.6333751448495435</v>
      </c>
      <c r="DJ42" s="17" t="s">
        <v>612</v>
      </c>
      <c r="DK42" s="60">
        <f>1/(AVERAGE('GREET-AFLEET Data'!B69:B71))</f>
        <v>0.10907596052089122</v>
      </c>
      <c r="DM42" s="28" t="s">
        <v>1208</v>
      </c>
      <c r="EC42" s="379" t="s">
        <v>1029</v>
      </c>
      <c r="ED42" s="73"/>
      <c r="EE42" s="73"/>
      <c r="EF42" s="73"/>
      <c r="EG42" s="73"/>
      <c r="EH42" s="73"/>
      <c r="EI42" s="73"/>
      <c r="EJ42" s="73"/>
      <c r="EK42" s="114"/>
      <c r="EM42" s="249" t="s">
        <v>1050</v>
      </c>
      <c r="EN42" s="73"/>
      <c r="EO42" s="73"/>
      <c r="EP42" s="73"/>
      <c r="EQ42" s="73"/>
      <c r="ER42" s="73"/>
      <c r="ES42" s="73"/>
      <c r="ET42" s="73"/>
      <c r="EU42" s="398"/>
    </row>
    <row r="43" spans="1:151" ht="15.75" thickBot="1" x14ac:dyDescent="0.3">
      <c r="A43" t="s">
        <v>1010</v>
      </c>
      <c r="B43" t="s">
        <v>4772</v>
      </c>
      <c r="C43" t="s">
        <v>4761</v>
      </c>
      <c r="D43" t="s">
        <v>95</v>
      </c>
      <c r="E43" t="s">
        <v>4050</v>
      </c>
      <c r="F43">
        <v>2023</v>
      </c>
      <c r="G43" s="52" t="s">
        <v>284</v>
      </c>
      <c r="H43" s="59"/>
      <c r="I43" s="59"/>
      <c r="J43" s="59"/>
      <c r="K43" s="561"/>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4065</v>
      </c>
      <c r="AL43" s="377">
        <v>3</v>
      </c>
      <c r="AM43" s="377">
        <v>1</v>
      </c>
      <c r="AN43" s="377">
        <v>1</v>
      </c>
      <c r="AO43" s="377">
        <v>3</v>
      </c>
      <c r="AP43" s="377">
        <v>1</v>
      </c>
      <c r="AQ43" s="1044"/>
      <c r="AS43" s="1044"/>
      <c r="AT43" s="379" t="s">
        <v>519</v>
      </c>
      <c r="AY43" s="63"/>
      <c r="BA43" s="28" t="s">
        <v>3032</v>
      </c>
      <c r="BB43" s="799"/>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5" t="s">
        <v>1951</v>
      </c>
      <c r="BX43" s="390">
        <f t="shared" ref="BX43:CD43" si="155">BN43/BN40</f>
        <v>0.82221079127441188</v>
      </c>
      <c r="BY43" s="390">
        <f t="shared" si="155"/>
        <v>0.82957813517700785</v>
      </c>
      <c r="BZ43" s="390">
        <f t="shared" si="155"/>
        <v>0.86174542369875207</v>
      </c>
      <c r="CA43" s="390">
        <f t="shared" si="155"/>
        <v>0.85773139402125009</v>
      </c>
      <c r="CB43" s="390">
        <f t="shared" si="155"/>
        <v>0.86154223109106276</v>
      </c>
      <c r="CC43" s="390">
        <f t="shared" si="155"/>
        <v>0.86512400827813296</v>
      </c>
      <c r="CD43" s="391">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5">
        <f t="shared" ref="CL43:CM43" si="156">($CN43-$CK43)/3 + CK43</f>
        <v>0.20621176996553786</v>
      </c>
      <c r="CM43" s="355">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5" t="s">
        <v>1956</v>
      </c>
      <c r="DB43" s="390">
        <f t="shared" si="144"/>
        <v>1.46009099040259</v>
      </c>
      <c r="DC43" s="390">
        <f t="shared" si="145"/>
        <v>1.4413132005997258</v>
      </c>
      <c r="DD43" s="390">
        <f t="shared" si="146"/>
        <v>1.4390552055110659</v>
      </c>
      <c r="DE43" s="390">
        <f t="shared" si="147"/>
        <v>1.4426912286198572</v>
      </c>
      <c r="DF43" s="390">
        <f t="shared" si="148"/>
        <v>1.4496333146049374</v>
      </c>
      <c r="DG43" s="390">
        <f t="shared" si="149"/>
        <v>1.4561119504932216</v>
      </c>
      <c r="DH43" s="391">
        <f t="shared" si="150"/>
        <v>1.4621720467216914</v>
      </c>
      <c r="DJ43" s="77" t="s">
        <v>642</v>
      </c>
      <c r="DM43" s="104" t="s">
        <v>576</v>
      </c>
      <c r="DN43" s="104">
        <v>2010</v>
      </c>
      <c r="EC43" s="396"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7"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8">
        <f t="shared" si="115"/>
        <v>0.62121212121212122</v>
      </c>
    </row>
    <row r="44" spans="1:151" ht="16.5" thickTop="1" thickBot="1" x14ac:dyDescent="0.3">
      <c r="A44" t="s">
        <v>1011</v>
      </c>
      <c r="B44" t="s">
        <v>4772</v>
      </c>
      <c r="C44" t="s">
        <v>4761</v>
      </c>
      <c r="D44" t="s">
        <v>95</v>
      </c>
      <c r="E44" t="s">
        <v>4050</v>
      </c>
      <c r="F44">
        <v>2023</v>
      </c>
      <c r="G44" s="52" t="s">
        <v>284</v>
      </c>
      <c r="H44" s="59"/>
      <c r="I44" s="59"/>
      <c r="J44" s="59"/>
      <c r="K44" s="561"/>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4065</v>
      </c>
      <c r="AL44" s="377">
        <v>3</v>
      </c>
      <c r="AM44" s="377">
        <v>1</v>
      </c>
      <c r="AN44" s="377">
        <v>1</v>
      </c>
      <c r="AO44" s="377">
        <v>3</v>
      </c>
      <c r="AP44" s="377">
        <v>1</v>
      </c>
      <c r="AQ44" s="1044"/>
      <c r="AS44" s="1044"/>
      <c r="AT44" s="381" t="s">
        <v>108</v>
      </c>
      <c r="AU44" s="434">
        <f t="shared" ref="AU44:AY47" si="166">1/(AU15*GSL_PJ_ML*10)</f>
        <v>0.21527811914640929</v>
      </c>
      <c r="AV44" s="434">
        <f t="shared" si="166"/>
        <v>0.24358758115408768</v>
      </c>
      <c r="AW44" s="434">
        <f t="shared" si="166"/>
        <v>0.26133588727237866</v>
      </c>
      <c r="AX44" s="434">
        <f t="shared" si="166"/>
        <v>0.26382919808855781</v>
      </c>
      <c r="AY44" s="438">
        <f t="shared" si="166"/>
        <v>0.26977525997204932</v>
      </c>
      <c r="BA44" s="17" t="s">
        <v>890</v>
      </c>
      <c r="BB44" s="782"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LDV'!$AM:$AM,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5" t="s">
        <v>1956</v>
      </c>
      <c r="BX44" s="390">
        <f t="shared" ref="BX44:CD44" si="169">BN44/BN34</f>
        <v>2.3969718124632906</v>
      </c>
      <c r="BY44" s="390">
        <f t="shared" si="169"/>
        <v>2.3982989757099937</v>
      </c>
      <c r="BZ44" s="390">
        <f t="shared" si="169"/>
        <v>2.1707693092576399</v>
      </c>
      <c r="CA44" s="390">
        <f t="shared" si="169"/>
        <v>2.0779105501932782</v>
      </c>
      <c r="CB44" s="390">
        <f t="shared" si="169"/>
        <v>2.0287217787210934</v>
      </c>
      <c r="CC44" s="390">
        <f t="shared" si="169"/>
        <v>1.9840123930153875</v>
      </c>
      <c r="CD44" s="391">
        <f t="shared" si="169"/>
        <v>1.9431971656997542</v>
      </c>
      <c r="CE44" s="60"/>
      <c r="CF44">
        <v>7</v>
      </c>
      <c r="CG44" s="28" t="s">
        <v>3997</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5" t="s">
        <v>1957</v>
      </c>
      <c r="DB44" s="390">
        <f t="shared" si="144"/>
        <v>1.3815922234139575</v>
      </c>
      <c r="DC44" s="390">
        <f t="shared" si="145"/>
        <v>1.3597271563169153</v>
      </c>
      <c r="DD44" s="390">
        <f t="shared" si="146"/>
        <v>1.3534609518837195</v>
      </c>
      <c r="DE44" s="390">
        <f t="shared" si="147"/>
        <v>1.3482549026341948</v>
      </c>
      <c r="DF44" s="390">
        <f t="shared" si="148"/>
        <v>1.3540803008058018</v>
      </c>
      <c r="DG44" s="390">
        <f t="shared" si="149"/>
        <v>1.359516798385813</v>
      </c>
      <c r="DH44" s="391">
        <f t="shared" si="150"/>
        <v>1.3646020816227193</v>
      </c>
      <c r="DM44" t="s">
        <v>1223</v>
      </c>
      <c r="DN44" s="297">
        <f>'Background Data'!$AD$146/HFO_MJ_L</f>
        <v>6.3339384515688266</v>
      </c>
      <c r="EC44" s="381"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7"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8">
        <f t="shared" si="115"/>
        <v>0.59119496855345899</v>
      </c>
    </row>
    <row r="45" spans="1:151" ht="21" x14ac:dyDescent="0.35">
      <c r="A45" t="s">
        <v>1012</v>
      </c>
      <c r="B45" t="s">
        <v>4772</v>
      </c>
      <c r="C45" t="s">
        <v>4761</v>
      </c>
      <c r="D45" t="s">
        <v>95</v>
      </c>
      <c r="E45" t="s">
        <v>4050</v>
      </c>
      <c r="F45">
        <v>2023</v>
      </c>
      <c r="G45" s="52" t="s">
        <v>284</v>
      </c>
      <c r="H45" s="59"/>
      <c r="I45" s="59"/>
      <c r="J45" s="59"/>
      <c r="K45" s="561"/>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4065</v>
      </c>
      <c r="AL45" s="377">
        <v>3</v>
      </c>
      <c r="AM45" s="377">
        <v>1</v>
      </c>
      <c r="AN45" s="377">
        <v>1</v>
      </c>
      <c r="AO45" s="377">
        <v>3</v>
      </c>
      <c r="AP45" s="377">
        <v>1</v>
      </c>
      <c r="AQ45" s="1044"/>
      <c r="AS45" s="1044"/>
      <c r="AT45" s="381" t="s">
        <v>107</v>
      </c>
      <c r="AU45" s="434">
        <f t="shared" si="166"/>
        <v>0.25808246523469797</v>
      </c>
      <c r="AV45" s="434">
        <f t="shared" si="166"/>
        <v>0.31519382820397635</v>
      </c>
      <c r="AW45" s="434">
        <f t="shared" si="166"/>
        <v>0.34209625090384571</v>
      </c>
      <c r="AX45" s="434">
        <f t="shared" si="166"/>
        <v>0.30985188312022954</v>
      </c>
      <c r="AY45" s="438">
        <f t="shared" si="166"/>
        <v>0.30041041363476262</v>
      </c>
      <c r="AZ45" s="60"/>
      <c r="BA45" s="17" t="s">
        <v>887</v>
      </c>
      <c r="BB45" s="782"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LDV'!$AM:$AM, ('Autonomie 2023 LDV'!$A:$A=$BA45)*('Autonomie 2023 LDV'!$B:$B=BI$3)*('Autonomie 2023 LDV'!$D:$D="Midsize SUV")))</f>
        <v>0.49216635453537383</v>
      </c>
      <c r="BJ45" s="85">
        <f t="shared" si="168"/>
        <v>0.33020769402588002</v>
      </c>
      <c r="BL45" s="17"/>
      <c r="BM45" s="800"/>
      <c r="BN45" s="73"/>
      <c r="BO45" s="73"/>
      <c r="BP45" s="73"/>
      <c r="BQ45" s="73"/>
      <c r="BR45" s="73"/>
      <c r="BS45" s="73"/>
      <c r="BT45" s="73"/>
      <c r="BU45" s="85"/>
      <c r="BW45" s="381"/>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5">
        <f t="shared" ref="CL45:CM47" si="170">($CN45-$CK45)/3 + CK45</f>
        <v>0.1237390248602689</v>
      </c>
      <c r="CM45" s="355">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9" t="s">
        <v>1080</v>
      </c>
      <c r="DH45" s="63"/>
      <c r="DT45" s="1093" t="s">
        <v>2142</v>
      </c>
      <c r="DU45" s="1094"/>
      <c r="DV45" s="1094"/>
      <c r="DW45" s="1094"/>
      <c r="DX45" s="1094"/>
      <c r="DY45" s="1094"/>
      <c r="DZ45" s="1094"/>
      <c r="EA45" s="1095"/>
      <c r="EC45" s="381"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7"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8">
        <f t="shared" si="115"/>
        <v>0.55371900826446308</v>
      </c>
    </row>
    <row r="46" spans="1:151" ht="16.5" customHeight="1" x14ac:dyDescent="0.25">
      <c r="A46" t="s">
        <v>4420</v>
      </c>
      <c r="B46" t="s">
        <v>2064</v>
      </c>
      <c r="C46" t="s">
        <v>2038</v>
      </c>
      <c r="D46" t="s">
        <v>95</v>
      </c>
      <c r="E46" t="s">
        <v>4050</v>
      </c>
      <c r="F46">
        <v>2023</v>
      </c>
      <c r="G46" s="52" t="s">
        <v>284</v>
      </c>
      <c r="H46" s="59"/>
      <c r="I46" s="59"/>
      <c r="J46" s="59"/>
      <c r="K46" s="561"/>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4065</v>
      </c>
      <c r="AL46" s="377">
        <v>3</v>
      </c>
      <c r="AM46" s="377">
        <v>1</v>
      </c>
      <c r="AN46" s="377">
        <v>1</v>
      </c>
      <c r="AO46" s="377">
        <v>3</v>
      </c>
      <c r="AP46" s="377">
        <v>1</v>
      </c>
      <c r="AQ46" s="1044"/>
      <c r="AS46" s="1044"/>
      <c r="AT46" s="381" t="s">
        <v>240</v>
      </c>
      <c r="AU46" s="434">
        <f t="shared" si="166"/>
        <v>0.14799238392261779</v>
      </c>
      <c r="AV46" s="434">
        <f t="shared" si="166"/>
        <v>0.16890234146170902</v>
      </c>
      <c r="AW46" s="434">
        <f t="shared" si="166"/>
        <v>0.19344569752801283</v>
      </c>
      <c r="AX46" s="434">
        <f t="shared" si="166"/>
        <v>0.16320965173519142</v>
      </c>
      <c r="AY46" s="438">
        <f t="shared" si="166"/>
        <v>0.17035888451851966</v>
      </c>
      <c r="BA46" s="17" t="s">
        <v>889</v>
      </c>
      <c r="BB46" s="782"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LDV'!$AM:$AM, ('Autonomie 2023 LDV'!$A:$A=$BA46)*('Autonomie 2023 LDV'!$B:$B=BI$3)*('Autonomie 2023 LDV'!$D:$D="Midsize SUV")))</f>
        <v>0.41962420236118053</v>
      </c>
      <c r="BJ46" s="85">
        <f t="shared" si="168"/>
        <v>0.40075756841241295</v>
      </c>
      <c r="BL46" s="28" t="s">
        <v>519</v>
      </c>
      <c r="BM46" s="799"/>
      <c r="BU46" s="85"/>
      <c r="BW46" s="379"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5">
        <f t="shared" si="170"/>
        <v>0.12260075698952884</v>
      </c>
      <c r="CM46" s="355">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1"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6" t="s">
        <v>959</v>
      </c>
      <c r="DK46" s="369"/>
      <c r="DL46" s="369"/>
      <c r="DM46" s="369"/>
      <c r="DN46" s="369"/>
      <c r="DO46" s="369"/>
      <c r="DP46" s="369"/>
      <c r="DQ46" s="369"/>
      <c r="DT46" s="313" t="s">
        <v>1959</v>
      </c>
      <c r="EA46" s="63"/>
      <c r="EC46" s="381"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7"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8">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44"/>
      <c r="AS47" s="1044"/>
      <c r="AT47" s="381" t="s">
        <v>516</v>
      </c>
      <c r="AU47" s="297">
        <f t="shared" si="166"/>
        <v>0.28052670234810545</v>
      </c>
      <c r="AV47" s="297">
        <f t="shared" si="166"/>
        <v>0.31495075010097484</v>
      </c>
      <c r="AW47" s="297">
        <f t="shared" si="166"/>
        <v>0.36437137884484738</v>
      </c>
      <c r="AX47" s="297">
        <f t="shared" si="166"/>
        <v>0.43485133826428995</v>
      </c>
      <c r="AY47" s="437">
        <f t="shared" si="166"/>
        <v>0.38813480156709523</v>
      </c>
      <c r="BA47" s="17" t="s">
        <v>3001</v>
      </c>
      <c r="BB47" s="782"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LDV'!$AM:$AM,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1"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5">
        <f t="shared" si="170"/>
        <v>0.20813287772313518</v>
      </c>
      <c r="CM47" s="355">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5" t="s">
        <v>1953</v>
      </c>
      <c r="DB47" s="390">
        <f t="shared" ref="DB47:DH47" si="189">CR47/CR46</f>
        <v>1.0127182129124119</v>
      </c>
      <c r="DC47" s="390">
        <f t="shared" si="189"/>
        <v>1.021299409071394</v>
      </c>
      <c r="DD47" s="390">
        <f t="shared" si="189"/>
        <v>1.0357041042142843</v>
      </c>
      <c r="DE47" s="390">
        <f t="shared" si="189"/>
        <v>1.0489907064579576</v>
      </c>
      <c r="DF47" s="390">
        <f t="shared" si="189"/>
        <v>1.0563475951581514</v>
      </c>
      <c r="DG47" s="390">
        <f t="shared" si="189"/>
        <v>1.0631668377171226</v>
      </c>
      <c r="DH47" s="391">
        <f t="shared" si="189"/>
        <v>1.0695052937530669</v>
      </c>
      <c r="DJ47" s="104" t="s">
        <v>576</v>
      </c>
      <c r="DK47" s="104">
        <v>2020</v>
      </c>
      <c r="DL47" s="104">
        <v>2025</v>
      </c>
      <c r="DM47" s="104">
        <v>2030</v>
      </c>
      <c r="DN47" s="104">
        <v>2035</v>
      </c>
      <c r="DO47" s="104">
        <v>2040</v>
      </c>
      <c r="DP47" s="104">
        <v>2045</v>
      </c>
      <c r="DQ47" s="104">
        <v>2050</v>
      </c>
      <c r="DR47" s="28" t="s">
        <v>924</v>
      </c>
      <c r="DT47" s="400" t="s">
        <v>576</v>
      </c>
      <c r="DU47" s="359" t="s">
        <v>1928</v>
      </c>
      <c r="DV47" s="359">
        <v>2025</v>
      </c>
      <c r="DW47" s="359">
        <v>2030</v>
      </c>
      <c r="DX47" s="359">
        <v>2035</v>
      </c>
      <c r="DY47" s="359">
        <v>2040</v>
      </c>
      <c r="DZ47" s="359">
        <v>2045</v>
      </c>
      <c r="EA47" s="401">
        <v>2050</v>
      </c>
      <c r="EC47" s="381"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7"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8">
        <f t="shared" si="115"/>
        <v>0.55952380952380909</v>
      </c>
    </row>
    <row r="48" spans="1:151" ht="15.75" thickTop="1" x14ac:dyDescent="0.25">
      <c r="A48" t="s">
        <v>1014</v>
      </c>
      <c r="B48" t="s">
        <v>2053</v>
      </c>
      <c r="C48" t="s">
        <v>2039</v>
      </c>
      <c r="D48" t="s">
        <v>95</v>
      </c>
      <c r="E48" t="s">
        <v>4050</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4065</v>
      </c>
      <c r="AL48" s="377">
        <v>3</v>
      </c>
      <c r="AM48" s="377">
        <v>1</v>
      </c>
      <c r="AN48" s="377">
        <v>1</v>
      </c>
      <c r="AO48" s="377">
        <v>3</v>
      </c>
      <c r="AP48" s="377">
        <v>1</v>
      </c>
      <c r="AQ48" s="1044"/>
      <c r="AS48" s="1044"/>
      <c r="AT48" s="381" t="s">
        <v>4463</v>
      </c>
      <c r="AV48" s="297">
        <f t="shared" ref="AV48:AY49" si="191">1/(AV19*GSL_PJ_ML*10)</f>
        <v>0.80537846535957924</v>
      </c>
      <c r="AW48" s="297">
        <f t="shared" si="191"/>
        <v>0.80537846535957924</v>
      </c>
      <c r="AX48" s="297">
        <f t="shared" si="191"/>
        <v>0.80537846535957924</v>
      </c>
      <c r="AY48" s="437">
        <f t="shared" si="191"/>
        <v>0.80537846535957924</v>
      </c>
      <c r="BA48" s="17" t="s">
        <v>4423</v>
      </c>
      <c r="BB48" s="782"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LDV'!$AM:$AM,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1"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5">
        <f t="shared" ref="CL48:CM48" si="192">($CN48-$CK48)/3 + CK48</f>
        <v>0.29725395546137195</v>
      </c>
      <c r="CM48" s="355">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5" t="s">
        <v>1954</v>
      </c>
      <c r="DB48" s="390">
        <f t="shared" ref="DB48:DH48" si="193">CR48/CR46</f>
        <v>1.5822263650008419</v>
      </c>
      <c r="DC48" s="390">
        <f t="shared" si="193"/>
        <v>1.5905149762483475</v>
      </c>
      <c r="DD48" s="390">
        <f t="shared" si="193"/>
        <v>1.6090367376795505</v>
      </c>
      <c r="DE48" s="390">
        <f t="shared" si="193"/>
        <v>1.6580880856294951</v>
      </c>
      <c r="DF48" s="390">
        <f t="shared" si="193"/>
        <v>1.6696388182137289</v>
      </c>
      <c r="DG48" s="390">
        <f t="shared" si="193"/>
        <v>1.6803454158578699</v>
      </c>
      <c r="DH48" s="391">
        <f t="shared" si="193"/>
        <v>1.6902971513878893</v>
      </c>
      <c r="DJ48" s="28" t="s">
        <v>992</v>
      </c>
      <c r="DT48" s="379" t="s">
        <v>992</v>
      </c>
      <c r="EA48" s="63"/>
      <c r="EC48" s="381"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7"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8">
        <f t="shared" si="115"/>
        <v>0.65384615384615397</v>
      </c>
    </row>
    <row r="49" spans="1:151" x14ac:dyDescent="0.25">
      <c r="A49" t="s">
        <v>1015</v>
      </c>
      <c r="B49" t="s">
        <v>2054</v>
      </c>
      <c r="C49" t="s">
        <v>2039</v>
      </c>
      <c r="D49" t="s">
        <v>95</v>
      </c>
      <c r="E49" t="s">
        <v>4050</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4065</v>
      </c>
      <c r="AL49" s="377">
        <v>3</v>
      </c>
      <c r="AM49" s="377">
        <v>1</v>
      </c>
      <c r="AN49" s="377">
        <v>1</v>
      </c>
      <c r="AO49" s="377">
        <v>3</v>
      </c>
      <c r="AP49" s="377">
        <v>1</v>
      </c>
      <c r="AQ49" s="1044"/>
      <c r="AS49" s="1044"/>
      <c r="AT49" s="381" t="s">
        <v>4464</v>
      </c>
      <c r="AV49" s="73">
        <f t="shared" si="191"/>
        <v>1.0651467027707895</v>
      </c>
      <c r="AW49" s="73">
        <f t="shared" si="191"/>
        <v>1.0651467027707895</v>
      </c>
      <c r="AX49" s="73">
        <f t="shared" si="191"/>
        <v>1.0651467027707895</v>
      </c>
      <c r="AY49" s="380">
        <f t="shared" si="191"/>
        <v>1.0651467027707895</v>
      </c>
      <c r="BA49" s="17" t="s">
        <v>4424</v>
      </c>
      <c r="BB49" s="782"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LDV'!$AM:$AM,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5" t="s">
        <v>1949</v>
      </c>
      <c r="BX49" s="390">
        <f t="shared" ref="BX49" si="196">BN49/BN47</f>
        <v>1.0535989260709013</v>
      </c>
      <c r="BY49" s="390">
        <f t="shared" ref="BY49" si="197">BO49/BO47</f>
        <v>1.0568332684462116</v>
      </c>
      <c r="BZ49" s="390">
        <f t="shared" ref="BZ49" si="198">BP49/BP47</f>
        <v>1.067254100552832</v>
      </c>
      <c r="CA49" s="390">
        <f t="shared" ref="CA49" si="199">BQ49/BQ47</f>
        <v>1.0425555855347155</v>
      </c>
      <c r="CB49" s="390">
        <f t="shared" ref="CB49" si="200">BR49/BR47</f>
        <v>1.0422500321689863</v>
      </c>
      <c r="CC49" s="390">
        <f t="shared" ref="CC49" si="201">BS49/BS47</f>
        <v>1.0419692762665114</v>
      </c>
      <c r="CD49" s="391">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5">
        <f t="shared" ref="CL49:CM49" si="203">($CN49-$CK49)/3 + CK49</f>
        <v>0.15224156088743634</v>
      </c>
      <c r="CM49" s="355">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5" t="s">
        <v>1955</v>
      </c>
      <c r="DB49" s="390">
        <f t="shared" ref="DB49:DH49" si="204">CR49/CR46</f>
        <v>2.3380167652839083</v>
      </c>
      <c r="DC49" s="390">
        <f t="shared" si="204"/>
        <v>2.3604467147985573</v>
      </c>
      <c r="DD49" s="390">
        <f t="shared" si="204"/>
        <v>2.3822086565093339</v>
      </c>
      <c r="DE49" s="390">
        <f t="shared" si="204"/>
        <v>2.4650133061705684</v>
      </c>
      <c r="DF49" s="390">
        <f t="shared" si="204"/>
        <v>2.4817158434311146</v>
      </c>
      <c r="DG49" s="390">
        <f t="shared" si="204"/>
        <v>2.4971977485640435</v>
      </c>
      <c r="DH49" s="391">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1"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1"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8"/>
    </row>
    <row r="50" spans="1:151" x14ac:dyDescent="0.25">
      <c r="A50" t="s">
        <v>1016</v>
      </c>
      <c r="B50" t="s">
        <v>2055</v>
      </c>
      <c r="C50" t="s">
        <v>2039</v>
      </c>
      <c r="D50" t="s">
        <v>95</v>
      </c>
      <c r="E50" t="s">
        <v>4050</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4065</v>
      </c>
      <c r="AL50" s="377">
        <v>3</v>
      </c>
      <c r="AM50" s="377">
        <v>1</v>
      </c>
      <c r="AN50" s="377">
        <v>1</v>
      </c>
      <c r="AO50" s="377">
        <v>3</v>
      </c>
      <c r="AP50" s="377">
        <v>1</v>
      </c>
      <c r="AQ50" s="1044"/>
      <c r="AS50" s="1044"/>
      <c r="AT50" s="381" t="s">
        <v>4465</v>
      </c>
      <c r="AV50" s="73"/>
      <c r="AW50" s="73"/>
      <c r="AX50" s="73"/>
      <c r="AY50" s="380"/>
      <c r="BA50" s="17" t="s">
        <v>2997</v>
      </c>
      <c r="BB50" s="782"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67"/>
        <v>1.4941479829921169</v>
      </c>
      <c r="BH50" s="60">
        <f t="shared" si="167"/>
        <v>1.5432501458511194</v>
      </c>
      <c r="BI50" s="60" cm="1">
        <f t="array" ref="BI50">1/AVERAGE(_xlfn._xlws.FILTER('Autonomie 2023 LDV'!$AM:$AM, ('Autonomie 2023 LDV'!$A:$A=$BA50)*('Autonomie 2023 LDV'!$B:$B=BI$3)*('Autonomie 2023 LDV'!$D:$D="Midsize SUV")))</f>
        <v>1.5923523087101221</v>
      </c>
      <c r="BJ50" s="85">
        <f t="shared" si="168"/>
        <v>0.17115763866932765</v>
      </c>
      <c r="BL50" s="17" t="s">
        <v>3001</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1" t="s">
        <v>3001</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5">
        <f t="shared" ref="CL50:CM50" si="214">($CN50-$CK50)/3 + CK50</f>
        <v>0.14987111916976037</v>
      </c>
      <c r="CM50" s="355">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5" t="s">
        <v>1956</v>
      </c>
      <c r="DB50" s="390">
        <f t="shared" ref="DB50:DH50" si="215">CR50/CR46</f>
        <v>1.1554697305318324</v>
      </c>
      <c r="DC50" s="390">
        <f t="shared" si="215"/>
        <v>1.1961080735995435</v>
      </c>
      <c r="DD50" s="390">
        <f t="shared" si="215"/>
        <v>1.2277928556190971</v>
      </c>
      <c r="DE50" s="390">
        <f t="shared" si="215"/>
        <v>1.2707195379762353</v>
      </c>
      <c r="DF50" s="390">
        <f t="shared" si="215"/>
        <v>1.2899513371479925</v>
      </c>
      <c r="DG50" s="390">
        <f t="shared" si="215"/>
        <v>1.3077776641106635</v>
      </c>
      <c r="DH50" s="391">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5" t="s">
        <v>1961</v>
      </c>
      <c r="DU50" s="402"/>
      <c r="DV50" s="402"/>
      <c r="DW50" s="390">
        <f>DM50/DM49</f>
        <v>1.7415695075339237</v>
      </c>
      <c r="DX50" s="390">
        <f t="shared" ref="DX50:EA50" si="216">DN50/DN49</f>
        <v>1.7417785887154753</v>
      </c>
      <c r="DY50" s="390">
        <f t="shared" si="216"/>
        <v>1.7417512768567074</v>
      </c>
      <c r="DZ50" s="390">
        <f t="shared" si="216"/>
        <v>1.7416339703099375</v>
      </c>
      <c r="EA50" s="391">
        <f t="shared" si="216"/>
        <v>1.7415166716637367</v>
      </c>
      <c r="EC50" s="381"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7"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8">
        <f t="shared" si="115"/>
        <v>0.53571428571428581</v>
      </c>
    </row>
    <row r="51" spans="1:151" x14ac:dyDescent="0.25">
      <c r="A51" t="s">
        <v>1017</v>
      </c>
      <c r="B51" t="s">
        <v>2053</v>
      </c>
      <c r="C51" t="s">
        <v>2039</v>
      </c>
      <c r="D51" t="s">
        <v>95</v>
      </c>
      <c r="E51" t="s">
        <v>4050</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4065</v>
      </c>
      <c r="AL51" s="377">
        <v>3</v>
      </c>
      <c r="AM51" s="377">
        <v>1</v>
      </c>
      <c r="AN51" s="377">
        <v>1</v>
      </c>
      <c r="AO51" s="377">
        <v>3</v>
      </c>
      <c r="AP51" s="377">
        <v>1</v>
      </c>
      <c r="AT51" s="381" t="s">
        <v>4466</v>
      </c>
      <c r="AV51" s="297">
        <f t="shared" ref="AV51:AY52" si="219">1/(AV22*ELC_PJ_MkWh*10)</f>
        <v>1.1166283501247924</v>
      </c>
      <c r="AW51" s="297">
        <f t="shared" si="219"/>
        <v>1.1166283501247924</v>
      </c>
      <c r="AX51" s="297">
        <f t="shared" si="219"/>
        <v>1.1166283501247924</v>
      </c>
      <c r="AY51" s="437">
        <f t="shared" si="219"/>
        <v>1.1166283501247924</v>
      </c>
      <c r="BA51" s="17" t="s">
        <v>883</v>
      </c>
      <c r="BB51" s="782"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67"/>
        <v>1.4613744139959055</v>
      </c>
      <c r="BH51" s="60">
        <f t="shared" si="167"/>
        <v>1.5234337829138282</v>
      </c>
      <c r="BI51" s="60" cm="1">
        <f t="array" ref="BI51">1/AVERAGE(_xlfn._xlws.FILTER('Autonomie 2023 LDV'!$AM:$AM, ('Autonomie 2023 LDV'!$A:$A=$BA51)*('Autonomie 2023 LDV'!$B:$B=BI$3)*('Autonomie 2023 LDV'!$D:$D="Midsize SUV")))</f>
        <v>1.5854931518317512</v>
      </c>
      <c r="BJ51" s="85">
        <f t="shared" si="168"/>
        <v>0.20102217390346608</v>
      </c>
      <c r="BL51" s="17" t="s">
        <v>4423</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1" t="s">
        <v>4423</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1915</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5" t="s">
        <v>1957</v>
      </c>
      <c r="DB51" s="390">
        <f t="shared" ref="DB51:DH51" si="220">CR51/CR46</f>
        <v>1.1214024780189242</v>
      </c>
      <c r="DC51" s="390">
        <f t="shared" si="220"/>
        <v>1.1578768659840017</v>
      </c>
      <c r="DD51" s="390">
        <f t="shared" si="220"/>
        <v>1.1879711174611827</v>
      </c>
      <c r="DE51" s="390">
        <f t="shared" si="220"/>
        <v>1.2354492053268515</v>
      </c>
      <c r="DF51" s="390">
        <f t="shared" si="220"/>
        <v>1.2550736868556398</v>
      </c>
      <c r="DG51" s="390">
        <f t="shared" si="220"/>
        <v>1.2732639986970204</v>
      </c>
      <c r="DH51" s="391">
        <f t="shared" si="220"/>
        <v>1.2901718137350746</v>
      </c>
      <c r="DJ51" s="28" t="s">
        <v>993</v>
      </c>
      <c r="DK51" s="60"/>
      <c r="DL51" s="60"/>
      <c r="DM51" s="60"/>
      <c r="DN51" s="60"/>
      <c r="DO51" s="60"/>
      <c r="DP51" s="60"/>
      <c r="DQ51" s="60"/>
      <c r="DR51" s="85"/>
      <c r="DT51" s="379" t="s">
        <v>993</v>
      </c>
      <c r="EA51" s="63"/>
      <c r="EC51" s="379" t="s">
        <v>1031</v>
      </c>
      <c r="ED51" s="73"/>
      <c r="EE51" s="73"/>
      <c r="EF51" s="73"/>
      <c r="EG51" s="73"/>
      <c r="EH51" s="73"/>
      <c r="EI51" s="73"/>
      <c r="EJ51" s="73"/>
      <c r="EK51" s="114"/>
      <c r="EM51" s="397"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8">
        <f t="shared" si="115"/>
        <v>0.59210526315789458</v>
      </c>
    </row>
    <row r="52" spans="1:151" ht="14.45" customHeight="1" x14ac:dyDescent="0.25">
      <c r="A52" t="s">
        <v>4391</v>
      </c>
      <c r="B52" t="s">
        <v>4490</v>
      </c>
      <c r="C52" t="s">
        <v>2039</v>
      </c>
      <c r="D52" t="s">
        <v>95</v>
      </c>
      <c r="E52" t="s">
        <v>4050</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4066</v>
      </c>
      <c r="AL52" s="377">
        <v>3</v>
      </c>
      <c r="AM52" s="377">
        <v>1</v>
      </c>
      <c r="AN52" s="377">
        <v>1</v>
      </c>
      <c r="AO52" s="377">
        <v>3</v>
      </c>
      <c r="AP52" s="377">
        <v>1</v>
      </c>
      <c r="AT52" s="381" t="s">
        <v>4467</v>
      </c>
      <c r="AV52" s="73">
        <f t="shared" si="219"/>
        <v>1.2550647662456875</v>
      </c>
      <c r="AW52" s="73">
        <f t="shared" si="219"/>
        <v>1.2550647662456875</v>
      </c>
      <c r="AX52" s="73">
        <f t="shared" si="219"/>
        <v>1.2550647662456875</v>
      </c>
      <c r="AY52" s="380">
        <f t="shared" si="219"/>
        <v>1.2550647662456875</v>
      </c>
      <c r="BA52" s="17" t="s">
        <v>884</v>
      </c>
      <c r="BB52" s="782"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67"/>
        <v>1.4328386107704176</v>
      </c>
      <c r="BH52" s="60">
        <f t="shared" si="167"/>
        <v>1.4784321082784651</v>
      </c>
      <c r="BI52" s="60" cm="1">
        <f t="array" ref="BI52">1/AVERAGE(_xlfn._xlws.FILTER('Autonomie 2023 LDV'!$AM:$AM, ('Autonomie 2023 LDV'!$A:$A=$BA52)*('Autonomie 2023 LDV'!$B:$B=BI$3)*('Autonomie 2023 LDV'!$D:$D="Midsize SUV")))</f>
        <v>1.5240256057865122</v>
      </c>
      <c r="BJ52" s="85">
        <f t="shared" si="168"/>
        <v>0.1929231094052645</v>
      </c>
      <c r="BL52" s="17" t="s">
        <v>4424</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5" t="s">
        <v>4425</v>
      </c>
      <c r="BX52" s="390">
        <f t="shared" ref="BX52" si="222">BN52/BN51</f>
        <v>1.1370604954059973</v>
      </c>
      <c r="BY52" s="390">
        <f t="shared" ref="BY52" si="223">BO52/BO51</f>
        <v>1.1312740564093473</v>
      </c>
      <c r="BZ52" s="390">
        <f t="shared" ref="BZ52" si="224">BP52/BP51</f>
        <v>1.1585988228347175</v>
      </c>
      <c r="CA52" s="390">
        <f t="shared" ref="CA52" si="225">BQ52/BQ51</f>
        <v>1.1387336753885231</v>
      </c>
      <c r="CB52" s="390">
        <f t="shared" ref="CB52" si="226">BR52/BR51</f>
        <v>1.1269660382954023</v>
      </c>
      <c r="CC52" s="390">
        <f t="shared" ref="CC52" si="227">BS52/BS51</f>
        <v>1.1162793842865983</v>
      </c>
      <c r="CD52" s="391">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5">
        <f t="shared" ref="CL52:CM52" si="229">($CN52-$CK52)/3 + CK52</f>
        <v>9.4622379719649957E-2</v>
      </c>
      <c r="CM52" s="355">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9"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1"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6"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7"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8">
        <f t="shared" si="115"/>
        <v>0.51666666666666661</v>
      </c>
    </row>
    <row r="53" spans="1:151" ht="15" customHeight="1" x14ac:dyDescent="0.25">
      <c r="A53" t="s">
        <v>1019</v>
      </c>
      <c r="B53" t="s">
        <v>2061</v>
      </c>
      <c r="C53" t="s">
        <v>2039</v>
      </c>
      <c r="D53" t="s">
        <v>95</v>
      </c>
      <c r="E53" t="s">
        <v>4050</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4066</v>
      </c>
      <c r="AL53" s="377">
        <v>3</v>
      </c>
      <c r="AM53" s="377">
        <v>1</v>
      </c>
      <c r="AN53" s="377">
        <v>1</v>
      </c>
      <c r="AO53" s="377">
        <v>3</v>
      </c>
      <c r="AP53" s="377">
        <v>1</v>
      </c>
      <c r="AT53" s="1105" t="s">
        <v>942</v>
      </c>
      <c r="AU53" s="1106"/>
      <c r="AV53" s="1106"/>
      <c r="AW53" s="1106"/>
      <c r="AX53" s="1106"/>
      <c r="AY53" s="1107"/>
      <c r="BA53" s="17" t="s">
        <v>885</v>
      </c>
      <c r="BB53" s="782"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67"/>
        <v>1.2866859143163252</v>
      </c>
      <c r="BH53" s="60">
        <f t="shared" si="167"/>
        <v>1.3384518782161845</v>
      </c>
      <c r="BI53" s="60" cm="1">
        <f t="array" ref="BI53">1/AVERAGE(_xlfn._xlws.FILTER('Autonomie 2023 LDV'!$AM:$AM, ('Autonomie 2023 LDV'!$A:$A=$BA53)*('Autonomie 2023 LDV'!$B:$B=BI$3)*('Autonomie 2023 LDV'!$D:$D="Midsize SUV")))</f>
        <v>1.390217842116044</v>
      </c>
      <c r="BJ53" s="85">
        <f t="shared" si="168"/>
        <v>0.21179016179575744</v>
      </c>
      <c r="BL53" s="17" t="s">
        <v>2997</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5" t="s">
        <v>4468</v>
      </c>
      <c r="BX53" s="390">
        <f>BN53/BN$55</f>
        <v>1.0705988024053674</v>
      </c>
      <c r="BY53" s="390">
        <f t="shared" ref="BY53:CD54" si="234">BO53/BO$55</f>
        <v>1.0431308666836214</v>
      </c>
      <c r="BZ53" s="390">
        <f t="shared" si="234"/>
        <v>1.0683407094276944</v>
      </c>
      <c r="CA53" s="390">
        <f t="shared" si="234"/>
        <v>1.0469986952605896</v>
      </c>
      <c r="CB53" s="390">
        <f t="shared" si="234"/>
        <v>1.0465380673927809</v>
      </c>
      <c r="CC53" s="390">
        <f t="shared" si="234"/>
        <v>1.0461069784981776</v>
      </c>
      <c r="CD53" s="391">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5">
        <f t="shared" ref="CL53:CM53" si="235">($CN53-$CK53)/3 + CK53</f>
        <v>0.10502594432914289</v>
      </c>
      <c r="CM53" s="355">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1"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5" t="s">
        <v>1961</v>
      </c>
      <c r="DU53" s="402"/>
      <c r="DV53" s="402"/>
      <c r="DW53" s="390">
        <f>DM53/DM52</f>
        <v>1.4662756598240467</v>
      </c>
      <c r="DX53" s="390">
        <f t="shared" ref="DX53:EA53" si="238">DN53/DN52</f>
        <v>1.466275659824047</v>
      </c>
      <c r="DY53" s="390">
        <f t="shared" si="238"/>
        <v>1.4662756598240474</v>
      </c>
      <c r="DZ53" s="390">
        <f t="shared" si="238"/>
        <v>1.4662756598240472</v>
      </c>
      <c r="EA53" s="391">
        <f t="shared" si="238"/>
        <v>1.4662756598240474</v>
      </c>
      <c r="EC53" s="381"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7"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8">
        <f t="shared" si="115"/>
        <v>0.56521739130434823</v>
      </c>
    </row>
    <row r="54" spans="1:151" ht="15.75" thickBot="1" x14ac:dyDescent="0.3">
      <c r="A54" t="s">
        <v>4396</v>
      </c>
      <c r="B54" t="s">
        <v>4772</v>
      </c>
      <c r="C54" t="s">
        <v>4762</v>
      </c>
      <c r="D54" t="s">
        <v>95</v>
      </c>
      <c r="E54" t="s">
        <v>4050</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4065</v>
      </c>
      <c r="AL54" s="377">
        <v>3</v>
      </c>
      <c r="AM54" s="377">
        <v>1</v>
      </c>
      <c r="AN54" s="377">
        <v>1</v>
      </c>
      <c r="AO54" s="377">
        <v>3</v>
      </c>
      <c r="AP54" s="377">
        <v>1</v>
      </c>
      <c r="AT54" s="1108"/>
      <c r="AU54" s="1109"/>
      <c r="AV54" s="1109"/>
      <c r="AW54" s="1109"/>
      <c r="AX54" s="1109"/>
      <c r="AY54" s="1110"/>
      <c r="BA54" s="17" t="s">
        <v>567</v>
      </c>
      <c r="BB54" s="782"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LDV'!$AM:$AM,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5" t="s">
        <v>3035</v>
      </c>
      <c r="BX54" s="390">
        <f>BN54/BN$55</f>
        <v>1.0388469887188041</v>
      </c>
      <c r="BY54" s="390">
        <f t="shared" si="234"/>
        <v>1.0354587579445012</v>
      </c>
      <c r="BZ54" s="390">
        <f t="shared" si="234"/>
        <v>1.0405969098103309</v>
      </c>
      <c r="CA54" s="390">
        <f t="shared" si="234"/>
        <v>1.0144189385748055</v>
      </c>
      <c r="CB54" s="390">
        <f t="shared" si="234"/>
        <v>1.0238523632457219</v>
      </c>
      <c r="CC54" s="390">
        <f t="shared" si="234"/>
        <v>1.0326808447552185</v>
      </c>
      <c r="CD54" s="391">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5">
        <f t="shared" ref="CL54:CM54" si="245">($CN54-$CK54)/3 + CK54</f>
        <v>0.17826792751213669</v>
      </c>
      <c r="CM54" s="355">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5" t="s">
        <v>1953</v>
      </c>
      <c r="DB54" s="390">
        <f t="shared" ref="DB54:DH54" si="246">CR54/CR53</f>
        <v>1.1652186265085018</v>
      </c>
      <c r="DC54" s="390">
        <f t="shared" si="246"/>
        <v>1.2809482153208847</v>
      </c>
      <c r="DD54" s="390">
        <f t="shared" si="246"/>
        <v>1.2838975555353058</v>
      </c>
      <c r="DE54" s="390">
        <f t="shared" si="246"/>
        <v>1.3449894888326335</v>
      </c>
      <c r="DF54" s="390">
        <f t="shared" si="246"/>
        <v>1.3592682743765965</v>
      </c>
      <c r="DG54" s="390">
        <f t="shared" si="246"/>
        <v>1.3729002477533436</v>
      </c>
      <c r="DH54" s="391">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5" t="s">
        <v>1962</v>
      </c>
      <c r="DU54" s="402"/>
      <c r="DV54" s="390">
        <f>DL54/DL52</f>
        <v>0.92592592592592571</v>
      </c>
      <c r="DW54" s="390">
        <f t="shared" ref="DW54:EA54" si="247">DM54/DM52</f>
        <v>0.92592592592592571</v>
      </c>
      <c r="DX54" s="390">
        <f t="shared" si="247"/>
        <v>0.92592592592592571</v>
      </c>
      <c r="DY54" s="390">
        <f t="shared" si="247"/>
        <v>0.92592592592592593</v>
      </c>
      <c r="DZ54" s="390">
        <f t="shared" si="247"/>
        <v>0.92592592592592571</v>
      </c>
      <c r="EA54" s="391">
        <f t="shared" si="247"/>
        <v>0.92592592592592571</v>
      </c>
      <c r="EC54" s="381"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7"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8">
        <f t="shared" si="115"/>
        <v>0.65432098765432134</v>
      </c>
    </row>
    <row r="55" spans="1:151" x14ac:dyDescent="0.25">
      <c r="A55" t="s">
        <v>1020</v>
      </c>
      <c r="B55" t="s">
        <v>4772</v>
      </c>
      <c r="C55" t="s">
        <v>4762</v>
      </c>
      <c r="D55" t="s">
        <v>95</v>
      </c>
      <c r="E55" t="s">
        <v>4050</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4065</v>
      </c>
      <c r="AL55" s="377">
        <v>3</v>
      </c>
      <c r="AM55" s="377">
        <v>1</v>
      </c>
      <c r="AN55" s="377">
        <v>1</v>
      </c>
      <c r="AO55" s="377">
        <v>3</v>
      </c>
      <c r="AP55" s="377">
        <v>1</v>
      </c>
      <c r="AT55" s="370"/>
      <c r="AU55" s="370"/>
      <c r="AV55" s="370"/>
      <c r="AW55" s="370"/>
      <c r="AX55" s="370"/>
      <c r="AY55" s="370"/>
      <c r="BA55" s="17"/>
      <c r="BB55" s="800"/>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V55" s="73">
        <f>BN55/BN53</f>
        <v>0.93405671457249007</v>
      </c>
      <c r="BW55" s="381"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5">
        <f t="shared" ref="CL55:CM55" si="250">($CN55-$CK55)/3 + CK55</f>
        <v>0.2652358322937991</v>
      </c>
      <c r="CM55" s="355">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5" t="s">
        <v>1954</v>
      </c>
      <c r="DB55" s="390">
        <f t="shared" ref="DB55:DH55" si="252">CR55/CR53</f>
        <v>2.8577316923546303</v>
      </c>
      <c r="DC55" s="390">
        <f t="shared" si="252"/>
        <v>2.9373430516428711</v>
      </c>
      <c r="DD55" s="390">
        <f t="shared" si="252"/>
        <v>2.9909848861947976</v>
      </c>
      <c r="DE55" s="390">
        <f t="shared" si="252"/>
        <v>3.0965588595639471</v>
      </c>
      <c r="DF55" s="390">
        <f t="shared" si="252"/>
        <v>3.1692953422344265</v>
      </c>
      <c r="DG55" s="390">
        <f t="shared" si="252"/>
        <v>3.2387369479108585</v>
      </c>
      <c r="DH55" s="391">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9"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1"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7"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8">
        <f t="shared" si="115"/>
        <v>0.56060606060606066</v>
      </c>
    </row>
    <row r="56" spans="1:151" x14ac:dyDescent="0.25">
      <c r="A56" t="s">
        <v>1021</v>
      </c>
      <c r="B56" t="s">
        <v>4772</v>
      </c>
      <c r="C56" t="s">
        <v>4762</v>
      </c>
      <c r="D56" t="s">
        <v>95</v>
      </c>
      <c r="E56" t="s">
        <v>4050</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4065</v>
      </c>
      <c r="AL56" s="377">
        <v>3</v>
      </c>
      <c r="AM56" s="377">
        <v>1</v>
      </c>
      <c r="AN56" s="377">
        <v>1</v>
      </c>
      <c r="AO56" s="377">
        <v>3</v>
      </c>
      <c r="AP56" s="377">
        <v>1</v>
      </c>
      <c r="BA56" s="28" t="s">
        <v>3033</v>
      </c>
      <c r="BB56" s="799"/>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5" t="s">
        <v>1951</v>
      </c>
      <c r="BX56" s="390">
        <f>BN56/BN$55</f>
        <v>0.89266046882150252</v>
      </c>
      <c r="BY56" s="390">
        <f t="shared" ref="BY56" si="255">BO56/BO$55</f>
        <v>0.89226433631381952</v>
      </c>
      <c r="BZ56" s="390">
        <f t="shared" ref="BZ56" si="256">BP56/BP$55</f>
        <v>0.9158555586142777</v>
      </c>
      <c r="CA56" s="390">
        <f t="shared" ref="CA56" si="257">BQ56/BQ$55</f>
        <v>0.8869225929067277</v>
      </c>
      <c r="CB56" s="390">
        <f t="shared" ref="CB56" si="258">BR56/BR$55</f>
        <v>0.89546202201664582</v>
      </c>
      <c r="CC56" s="390">
        <f t="shared" ref="CC56" si="259">BS56/BS$55</f>
        <v>0.90345383778117894</v>
      </c>
      <c r="CD56" s="391">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5">
        <f t="shared" ref="CL56:CM56" si="261">($CN56-$CK56)/3 + CK56</f>
        <v>0.13361956825458993</v>
      </c>
      <c r="CM56" s="355">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5" t="s">
        <v>1955</v>
      </c>
      <c r="DB56" s="390">
        <f t="shared" ref="DB56:DH56" si="263">CR56/CR53</f>
        <v>3.9455529240918836</v>
      </c>
      <c r="DC56" s="390">
        <f t="shared" si="263"/>
        <v>3.9907120322323606</v>
      </c>
      <c r="DD56" s="390">
        <f t="shared" si="263"/>
        <v>4.0135867832070211</v>
      </c>
      <c r="DE56" s="390">
        <f t="shared" si="263"/>
        <v>4.1310142511504626</v>
      </c>
      <c r="DF56" s="390">
        <f t="shared" si="263"/>
        <v>4.2119130342326301</v>
      </c>
      <c r="DG56" s="390">
        <f t="shared" si="263"/>
        <v>4.2891471977258711</v>
      </c>
      <c r="DH56" s="391">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9"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1"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8"/>
    </row>
    <row r="57" spans="1:151" x14ac:dyDescent="0.25">
      <c r="A57" t="s">
        <v>1022</v>
      </c>
      <c r="B57" t="s">
        <v>4772</v>
      </c>
      <c r="C57" t="s">
        <v>4762</v>
      </c>
      <c r="D57" t="s">
        <v>95</v>
      </c>
      <c r="E57" t="s">
        <v>4050</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4065</v>
      </c>
      <c r="AL57" s="377">
        <v>3</v>
      </c>
      <c r="AM57" s="377">
        <v>1</v>
      </c>
      <c r="AN57" s="377">
        <v>1</v>
      </c>
      <c r="AO57" s="377">
        <v>3</v>
      </c>
      <c r="AP57" s="377">
        <v>1</v>
      </c>
      <c r="BA57" s="17" t="s">
        <v>890</v>
      </c>
      <c r="BB57" s="782"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LDV'!$AM:$AM,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5" t="s">
        <v>1956</v>
      </c>
      <c r="BX57" s="390">
        <f t="shared" ref="BX57" si="269">BN57/BN47</f>
        <v>2.197852658949345</v>
      </c>
      <c r="BY57" s="390">
        <f t="shared" ref="BY57" si="270">BO57/BO47</f>
        <v>2.2170779988667744</v>
      </c>
      <c r="BZ57" s="390">
        <f t="shared" ref="BZ57" si="271">BP57/BP47</f>
        <v>2.049997306306564</v>
      </c>
      <c r="CA57" s="390">
        <f t="shared" ref="CA57" si="272">BQ57/BQ47</f>
        <v>1.9942293536523166</v>
      </c>
      <c r="CB57" s="390">
        <f t="shared" ref="CB57" si="273">BR57/BR47</f>
        <v>1.9529071375616842</v>
      </c>
      <c r="CC57" s="390">
        <f t="shared" ref="CC57" si="274">BS57/BS47</f>
        <v>1.914938463765167</v>
      </c>
      <c r="CD57" s="391">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5">
        <f t="shared" ref="CL57:CM57" si="276">($CN57-$CK57)/3 + CK57</f>
        <v>0.13262013894212143</v>
      </c>
      <c r="CM57" s="355">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5" t="s">
        <v>1956</v>
      </c>
      <c r="DB57" s="390">
        <f t="shared" ref="DB57:DH57" si="278">CR57/CR53</f>
        <v>2.0581819573447455</v>
      </c>
      <c r="DC57" s="390">
        <f t="shared" si="278"/>
        <v>2.0641012723524854</v>
      </c>
      <c r="DD57" s="390">
        <f t="shared" si="278"/>
        <v>2.0886064217745282</v>
      </c>
      <c r="DE57" s="390">
        <f t="shared" si="278"/>
        <v>2.1121885353793171</v>
      </c>
      <c r="DF57" s="390">
        <f t="shared" si="278"/>
        <v>2.1464134221892586</v>
      </c>
      <c r="DG57" s="390">
        <f t="shared" si="278"/>
        <v>2.1790879619376735</v>
      </c>
      <c r="DH57" s="391">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3" t="s">
        <v>1960</v>
      </c>
      <c r="DU57" s="402"/>
      <c r="DV57" s="390">
        <f>DL57/DL55</f>
        <v>0.99918918171070359</v>
      </c>
      <c r="DW57" s="390">
        <f t="shared" ref="DW57:EA57" si="279">DM57/DM55</f>
        <v>0.99918916220654053</v>
      </c>
      <c r="DX57" s="390">
        <f t="shared" si="279"/>
        <v>0.99918917568160781</v>
      </c>
      <c r="DY57" s="390">
        <f t="shared" si="279"/>
        <v>0.9991891724810622</v>
      </c>
      <c r="DZ57" s="390">
        <f t="shared" si="279"/>
        <v>0.99918917096085036</v>
      </c>
      <c r="EA57" s="391">
        <f t="shared" si="279"/>
        <v>0.99918918684857039</v>
      </c>
      <c r="EC57" s="381"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7"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8">
        <f t="shared" si="115"/>
        <v>0.53571428571428581</v>
      </c>
    </row>
    <row r="58" spans="1:151" ht="15.75" thickBot="1" x14ac:dyDescent="0.3">
      <c r="A58" t="s">
        <v>4421</v>
      </c>
      <c r="B58" t="s">
        <v>2064</v>
      </c>
      <c r="C58" t="s">
        <v>2039</v>
      </c>
      <c r="D58" t="s">
        <v>95</v>
      </c>
      <c r="E58" t="s">
        <v>4050</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4065</v>
      </c>
      <c r="AL58" s="377">
        <v>3</v>
      </c>
      <c r="AM58" s="377">
        <v>1</v>
      </c>
      <c r="AN58" s="377">
        <v>1</v>
      </c>
      <c r="AO58" s="377">
        <v>3</v>
      </c>
      <c r="AP58" s="377">
        <v>1</v>
      </c>
      <c r="BA58" s="17" t="s">
        <v>887</v>
      </c>
      <c r="BB58" s="782"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67"/>
        <v>0.38276740891146688</v>
      </c>
      <c r="BH58" s="60">
        <f t="shared" si="267"/>
        <v>0.3932601131574246</v>
      </c>
      <c r="BI58" s="60" cm="1">
        <f t="array" ref="BI58">1/AVERAGE(_xlfn._xlws.FILTER('Autonomie 2023 LDV'!$AM:$AM, ('Autonomie 2023 LDV'!$A:$A=$BA58)*('Autonomie 2023 LDV'!$B:$B=BI$3)*('Autonomie 2023 LDV'!$D:$D="Pickup")))</f>
        <v>0.40375281740338231</v>
      </c>
      <c r="BJ58" s="85">
        <f t="shared" si="268"/>
        <v>0.34446687834267209</v>
      </c>
      <c r="BL58" s="354" t="s">
        <v>1927</v>
      </c>
      <c r="BM58" s="17"/>
      <c r="BN58" s="73"/>
      <c r="BO58" s="73"/>
      <c r="BP58" s="73"/>
      <c r="BQ58" s="73"/>
      <c r="BR58" s="73"/>
      <c r="BS58" s="73"/>
      <c r="BT58" s="73"/>
      <c r="BU58" s="85"/>
      <c r="BW58" s="392" t="s">
        <v>1963</v>
      </c>
      <c r="BX58" s="68"/>
      <c r="BY58" s="68"/>
      <c r="BZ58" s="68"/>
      <c r="CA58" s="68"/>
      <c r="CB58" s="68"/>
      <c r="CC58" s="68"/>
      <c r="CD58" s="296"/>
      <c r="CF58">
        <v>8</v>
      </c>
      <c r="CG58" s="28" t="s">
        <v>1916</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5" t="s">
        <v>1957</v>
      </c>
      <c r="DB58" s="390">
        <f t="shared" ref="DB58:DH58" si="284">CR58/CR53</f>
        <v>2.0707332578510274</v>
      </c>
      <c r="DC58" s="390">
        <f t="shared" si="284"/>
        <v>2.0849113338576841</v>
      </c>
      <c r="DD58" s="390">
        <f t="shared" si="284"/>
        <v>2.1159472683097063</v>
      </c>
      <c r="DE58" s="390">
        <f t="shared" si="284"/>
        <v>2.1560041575072448</v>
      </c>
      <c r="DF58" s="390">
        <f t="shared" si="284"/>
        <v>2.1995169273792246</v>
      </c>
      <c r="DG58" s="390">
        <f t="shared" si="284"/>
        <v>2.2410586200264788</v>
      </c>
      <c r="DH58" s="391">
        <f t="shared" si="284"/>
        <v>2.2807602003853655</v>
      </c>
      <c r="DJ58" s="61" t="s">
        <v>994</v>
      </c>
      <c r="DT58" s="107" t="s">
        <v>2139</v>
      </c>
      <c r="EA58" s="63"/>
      <c r="EC58" s="381"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7"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8">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93" t="s">
        <v>2136</v>
      </c>
      <c r="AU59" s="1094"/>
      <c r="AV59" s="1094"/>
      <c r="AW59" s="1094"/>
      <c r="AX59" s="1095"/>
      <c r="BA59" s="17" t="s">
        <v>889</v>
      </c>
      <c r="BB59" s="782"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67"/>
        <v>0.31569830940396815</v>
      </c>
      <c r="BH59" s="60">
        <f t="shared" si="267"/>
        <v>0.32839569308333522</v>
      </c>
      <c r="BI59" s="60" cm="1">
        <f t="array" ref="BI59">1/AVERAGE(_xlfn._xlws.FILTER('Autonomie 2023 LDV'!$AM:$AM, ('Autonomie 2023 LDV'!$A:$A=$BA59)*('Autonomie 2023 LDV'!$B:$B=BI$3)*('Autonomie 2023 LDV'!$D:$D="Pickup")))</f>
        <v>0.34109307676270234</v>
      </c>
      <c r="BJ59" s="85">
        <f t="shared" si="268"/>
        <v>0.37888681266047269</v>
      </c>
      <c r="BM59" s="354"/>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5">
        <f t="shared" ref="CL59:CM59" si="285">($CN59-$CK59)/3 + CK59</f>
        <v>0.10474874318079853</v>
      </c>
      <c r="CM59" s="355">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9" t="s">
        <v>1117</v>
      </c>
      <c r="DH59" s="63"/>
      <c r="DT59" s="67" t="s">
        <v>2143</v>
      </c>
      <c r="DU59" s="68"/>
      <c r="DV59" s="68"/>
      <c r="DW59" s="68"/>
      <c r="DX59" s="68"/>
      <c r="DY59" s="68"/>
      <c r="DZ59" s="68"/>
      <c r="EA59" s="296"/>
      <c r="EC59" s="64"/>
      <c r="ED59" s="73"/>
      <c r="EE59" s="73"/>
      <c r="EF59" s="73"/>
      <c r="EG59" s="73"/>
      <c r="EH59" s="73"/>
      <c r="EI59" s="73"/>
      <c r="EJ59" s="73"/>
      <c r="EK59" s="114"/>
      <c r="EM59" s="397"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8">
        <f t="shared" si="115"/>
        <v>0.54237288135593187</v>
      </c>
    </row>
    <row r="60" spans="1:151" ht="15.75" x14ac:dyDescent="0.25">
      <c r="A60" t="s">
        <v>1033</v>
      </c>
      <c r="B60" t="s">
        <v>2053</v>
      </c>
      <c r="C60" t="s">
        <v>2040</v>
      </c>
      <c r="D60" t="s">
        <v>95</v>
      </c>
      <c r="E60" t="s">
        <v>4050</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4065</v>
      </c>
      <c r="AL60" s="377">
        <v>3</v>
      </c>
      <c r="AM60" s="377">
        <v>1</v>
      </c>
      <c r="AN60" s="377">
        <v>1</v>
      </c>
      <c r="AO60" s="377">
        <v>3</v>
      </c>
      <c r="AP60" s="377">
        <v>1</v>
      </c>
      <c r="AT60" s="1096" t="s">
        <v>1471</v>
      </c>
      <c r="AU60" s="1037"/>
      <c r="AV60" s="1037"/>
      <c r="AW60" s="1037"/>
      <c r="AX60" s="1097"/>
      <c r="BA60" s="17" t="s">
        <v>3001</v>
      </c>
      <c r="BB60" s="782"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67"/>
        <v>0.42919529231750481</v>
      </c>
      <c r="BH60" s="60">
        <f t="shared" si="267"/>
        <v>0.45570981130473753</v>
      </c>
      <c r="BI60" s="60" cm="1">
        <f t="array" ref="BI60">1/AVERAGE(_xlfn._xlws.FILTER('Autonomie 2023 LDV'!$AM:$AM,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5">
        <f t="shared" ref="CL60:CM60" si="288">($CN60-$CK60)/3 + CK60</f>
        <v>0.10951710635320835</v>
      </c>
      <c r="CM60" s="355">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1"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7" t="s">
        <v>4017</v>
      </c>
      <c r="ED60" s="73"/>
      <c r="EE60" s="73"/>
      <c r="EF60" s="73"/>
      <c r="EG60" s="73"/>
      <c r="EH60" s="73"/>
      <c r="EI60" s="73"/>
      <c r="EJ60" s="73"/>
      <c r="EK60" s="114"/>
      <c r="EM60" s="397"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8">
        <f t="shared" si="115"/>
        <v>0.56521739130434823</v>
      </c>
    </row>
    <row r="61" spans="1:151" ht="15.75" thickBot="1" x14ac:dyDescent="0.3">
      <c r="A61" t="s">
        <v>1034</v>
      </c>
      <c r="B61" t="s">
        <v>2054</v>
      </c>
      <c r="C61" t="s">
        <v>2040</v>
      </c>
      <c r="D61" t="s">
        <v>95</v>
      </c>
      <c r="E61" t="s">
        <v>4050</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4065</v>
      </c>
      <c r="AL61" s="377">
        <v>3</v>
      </c>
      <c r="AM61" s="377">
        <v>1</v>
      </c>
      <c r="AN61" s="377">
        <v>1</v>
      </c>
      <c r="AO61" s="377">
        <v>3</v>
      </c>
      <c r="AP61" s="377">
        <v>1</v>
      </c>
      <c r="AT61" s="232" t="s">
        <v>1472</v>
      </c>
      <c r="AU61" s="88" t="s">
        <v>1536</v>
      </c>
      <c r="AV61" s="594" t="s">
        <v>1482</v>
      </c>
      <c r="AW61" s="41"/>
      <c r="AX61" s="378" t="s">
        <v>3998</v>
      </c>
      <c r="BA61" s="17" t="s">
        <v>4423</v>
      </c>
      <c r="BB61" s="782"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67"/>
        <v>0.71100460694336409</v>
      </c>
      <c r="BH61" s="60">
        <f t="shared" si="267"/>
        <v>0.73951358182566207</v>
      </c>
      <c r="BI61" s="60" cm="1">
        <f t="array" ref="BI61">1/AVERAGE(_xlfn._xlws.FILTER('Autonomie 2023 LDV'!$AM:$AM,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5">
        <f t="shared" ref="CL61:CM61" si="293">($CN61-$CK61)/3 + CK61</f>
        <v>0.17035767979006</v>
      </c>
      <c r="CM61" s="355">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5" t="s">
        <v>1953</v>
      </c>
      <c r="DB61" s="390">
        <f t="shared" ref="DB61:DH61" si="294">CR61/CR60</f>
        <v>1.0412852075171302</v>
      </c>
      <c r="DC61" s="390">
        <f t="shared" si="294"/>
        <v>1.0950253981899627</v>
      </c>
      <c r="DD61" s="390">
        <f t="shared" si="294"/>
        <v>1.1261848176464317</v>
      </c>
      <c r="DE61" s="390">
        <f t="shared" si="294"/>
        <v>1.1358449091822116</v>
      </c>
      <c r="DF61" s="390">
        <f t="shared" si="294"/>
        <v>1.1691425547155345</v>
      </c>
      <c r="DG61" s="390">
        <f t="shared" si="294"/>
        <v>1.2001398368460925</v>
      </c>
      <c r="DH61" s="391">
        <f t="shared" si="294"/>
        <v>1.2290671767154884</v>
      </c>
      <c r="EC61" s="232" t="s">
        <v>246</v>
      </c>
      <c r="ED61" s="88" t="s">
        <v>2529</v>
      </c>
      <c r="EE61" s="88">
        <v>2022</v>
      </c>
      <c r="EF61" s="88">
        <v>2025</v>
      </c>
      <c r="EG61" s="88">
        <v>2030</v>
      </c>
      <c r="EH61" s="88">
        <v>2035</v>
      </c>
      <c r="EI61" s="88">
        <v>2040</v>
      </c>
      <c r="EJ61" s="88">
        <v>2045</v>
      </c>
      <c r="EK61" s="88">
        <v>2050</v>
      </c>
      <c r="EM61" s="397"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8">
        <f t="shared" si="115"/>
        <v>0.67500000000000004</v>
      </c>
    </row>
    <row r="62" spans="1:151" ht="15.75" thickTop="1" x14ac:dyDescent="0.25">
      <c r="A62" t="s">
        <v>1035</v>
      </c>
      <c r="B62" t="s">
        <v>2055</v>
      </c>
      <c r="C62" t="s">
        <v>2040</v>
      </c>
      <c r="D62" t="s">
        <v>95</v>
      </c>
      <c r="E62" t="s">
        <v>4050</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4065</v>
      </c>
      <c r="AL62" s="377">
        <v>3</v>
      </c>
      <c r="AM62" s="377">
        <v>1</v>
      </c>
      <c r="AN62" s="377">
        <v>1</v>
      </c>
      <c r="AO62" s="377">
        <v>3</v>
      </c>
      <c r="AP62" s="377">
        <v>1</v>
      </c>
      <c r="AT62" s="379" t="s">
        <v>17</v>
      </c>
      <c r="AV62" s="405">
        <v>2018</v>
      </c>
      <c r="AW62" s="811">
        <v>2021</v>
      </c>
      <c r="AX62" s="63"/>
      <c r="BA62" s="17" t="s">
        <v>4424</v>
      </c>
      <c r="BB62" s="782"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67"/>
        <v>0.80525842230903011</v>
      </c>
      <c r="BH62" s="60">
        <f t="shared" si="267"/>
        <v>0.8348278945909845</v>
      </c>
      <c r="BI62" s="60" cm="1">
        <f t="array" ref="BI62">1/AVERAGE(_xlfn._xlws.FILTER('Autonomie 2023 LDV'!$AM:$AM,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5">
        <f t="shared" ref="CL62:CM62" si="296">($CN62-$CK62)/3 + CK62</f>
        <v>0.25315744066742518</v>
      </c>
      <c r="CM62" s="355">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5" t="s">
        <v>1954</v>
      </c>
      <c r="DB62" s="390">
        <f t="shared" ref="DB62:DH62" si="297">CR62/CR60</f>
        <v>2.1738765575336876</v>
      </c>
      <c r="DC62" s="390">
        <f t="shared" si="297"/>
        <v>2.2364694792345836</v>
      </c>
      <c r="DD62" s="390">
        <f t="shared" si="297"/>
        <v>2.2800111483987857</v>
      </c>
      <c r="DE62" s="390">
        <f t="shared" si="297"/>
        <v>2.3737663100869768</v>
      </c>
      <c r="DF62" s="390">
        <f t="shared" si="297"/>
        <v>2.4173558975410194</v>
      </c>
      <c r="DG62" s="390">
        <f t="shared" si="297"/>
        <v>2.4579341041567218</v>
      </c>
      <c r="DH62" s="391">
        <f t="shared" si="297"/>
        <v>2.4958025717571699</v>
      </c>
      <c r="EC62" s="379" t="s">
        <v>1026</v>
      </c>
      <c r="ED62" s="73"/>
      <c r="EE62" s="73"/>
      <c r="EF62" s="73"/>
      <c r="EG62" s="73"/>
      <c r="EH62" s="73"/>
      <c r="EI62" s="73"/>
      <c r="EJ62" s="73"/>
      <c r="EM62" s="397"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8">
        <f t="shared" si="115"/>
        <v>0.54545454545454564</v>
      </c>
    </row>
    <row r="63" spans="1:151" x14ac:dyDescent="0.25">
      <c r="A63" t="s">
        <v>1036</v>
      </c>
      <c r="B63" t="s">
        <v>2053</v>
      </c>
      <c r="C63" t="s">
        <v>2040</v>
      </c>
      <c r="D63" t="s">
        <v>95</v>
      </c>
      <c r="E63" t="s">
        <v>4050</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4065</v>
      </c>
      <c r="AL63" s="377">
        <v>3</v>
      </c>
      <c r="AM63" s="377">
        <v>1</v>
      </c>
      <c r="AN63" s="377">
        <v>1</v>
      </c>
      <c r="AO63" s="377">
        <v>3</v>
      </c>
      <c r="AP63" s="377">
        <v>1</v>
      </c>
      <c r="AT63" s="381" t="s">
        <v>482</v>
      </c>
      <c r="AU63" t="s">
        <v>1477</v>
      </c>
      <c r="AV63" s="814">
        <f>'Background Data'!AL25+'Background Data'!AL28+'Background Data'!AL30</f>
        <v>0.60709100187808107</v>
      </c>
      <c r="AW63" s="815">
        <f>'Background Data'!AN25+'Background Data'!AN28+'Background Data'!AN30</f>
        <v>0.54500397685625612</v>
      </c>
      <c r="AX63" s="63"/>
      <c r="BA63" s="17" t="s">
        <v>2997</v>
      </c>
      <c r="BB63" s="782"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67"/>
        <v>1.2239737637852501</v>
      </c>
      <c r="BH63" s="60">
        <f t="shared" si="267"/>
        <v>1.2650554018433513</v>
      </c>
      <c r="BI63" s="60" cm="1">
        <f t="array" ref="BI63">1/AVERAGE(_xlfn._xlws.FILTER('Autonomie 2023 LDV'!$AM:$AM,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5">
        <f t="shared" ref="CL63:CM63" si="299">($CN63-$CK63)/3 + CK63</f>
        <v>0.13253586223875213</v>
      </c>
      <c r="CM63" s="355">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5" t="s">
        <v>1955</v>
      </c>
      <c r="DB63" s="390">
        <f t="shared" ref="DB63:DH63" si="300">CR63/CR60</f>
        <v>3.1201351017601926</v>
      </c>
      <c r="DC63" s="390">
        <f t="shared" si="300"/>
        <v>3.1580861165335503</v>
      </c>
      <c r="DD63" s="390">
        <f t="shared" si="300"/>
        <v>3.1864162772977269</v>
      </c>
      <c r="DE63" s="390">
        <f t="shared" si="300"/>
        <v>3.2760101798577907</v>
      </c>
      <c r="DF63" s="390">
        <f t="shared" si="300"/>
        <v>3.3113098289630254</v>
      </c>
      <c r="DG63" s="390">
        <f t="shared" si="300"/>
        <v>3.3441708065156162</v>
      </c>
      <c r="DH63" s="391">
        <f t="shared" si="300"/>
        <v>3.3748373876081339</v>
      </c>
      <c r="EC63" s="396" t="s">
        <v>107</v>
      </c>
      <c r="ED63" s="73" t="s">
        <v>4018</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4392</v>
      </c>
      <c r="B64" t="s">
        <v>4490</v>
      </c>
      <c r="C64" t="s">
        <v>2040</v>
      </c>
      <c r="D64" t="s">
        <v>95</v>
      </c>
      <c r="E64" t="s">
        <v>4050</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4066</v>
      </c>
      <c r="AL64" s="377">
        <v>3</v>
      </c>
      <c r="AM64" s="377">
        <v>1</v>
      </c>
      <c r="AN64" s="377">
        <v>1</v>
      </c>
      <c r="AO64" s="377">
        <v>3</v>
      </c>
      <c r="AP64" s="377">
        <v>1</v>
      </c>
      <c r="AT64" s="381" t="s">
        <v>1473</v>
      </c>
      <c r="AU64" t="s">
        <v>1478</v>
      </c>
      <c r="AV64" s="814">
        <f>'Background Data'!AL26+'Background Data'!AL27+'Background Data'!AL29+'Background Data'!AL31</f>
        <v>0.39290899812191887</v>
      </c>
      <c r="AW64" s="815">
        <f>'Background Data'!AN26+'Background Data'!AN27+'Background Data'!AN29+'Background Data'!AN31</f>
        <v>0.45499602314374388</v>
      </c>
      <c r="AX64" s="63"/>
      <c r="BA64" s="17" t="s">
        <v>883</v>
      </c>
      <c r="BB64" s="782"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67"/>
        <v>1.2028132830448284</v>
      </c>
      <c r="BH64" s="60">
        <f t="shared" si="267"/>
        <v>1.2525994482968965</v>
      </c>
      <c r="BI64" s="60" cm="1">
        <f t="array" ref="BI64">1/AVERAGE(_xlfn._xlws.FILTER('Autonomie 2023 LDV'!$AM:$AM,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5">
        <f t="shared" ref="CL64:CM64" si="302">($CN64-$CK64)/3 + CK64</f>
        <v>0.1283680559431751</v>
      </c>
      <c r="CM64" s="355">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5" t="s">
        <v>1956</v>
      </c>
      <c r="DB64" s="390">
        <f t="shared" ref="DB64:DH64" si="303">CR64/CR60</f>
        <v>1.689589829684035</v>
      </c>
      <c r="DC64" s="390">
        <f t="shared" si="303"/>
        <v>1.6922508362244921</v>
      </c>
      <c r="DD64" s="390">
        <f t="shared" si="303"/>
        <v>1.7095181113096434</v>
      </c>
      <c r="DE64" s="390">
        <f t="shared" si="303"/>
        <v>1.7351818133290751</v>
      </c>
      <c r="DF64" s="390">
        <f t="shared" si="303"/>
        <v>1.7414447679790963</v>
      </c>
      <c r="DG64" s="390">
        <f t="shared" si="303"/>
        <v>1.7472750472420346</v>
      </c>
      <c r="DH64" s="391">
        <f t="shared" si="303"/>
        <v>1.7527159910338854</v>
      </c>
      <c r="EC64" s="381" t="s">
        <v>108</v>
      </c>
      <c r="ED64" s="73" t="s">
        <v>4019</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2061</v>
      </c>
      <c r="C65" t="s">
        <v>2040</v>
      </c>
      <c r="D65" t="s">
        <v>95</v>
      </c>
      <c r="E65" t="s">
        <v>4050</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4066</v>
      </c>
      <c r="AL65" s="377">
        <v>3</v>
      </c>
      <c r="AM65" s="377">
        <v>1</v>
      </c>
      <c r="AN65" s="377">
        <v>1</v>
      </c>
      <c r="AO65" s="377">
        <v>3</v>
      </c>
      <c r="AP65" s="377">
        <v>1</v>
      </c>
      <c r="AT65" s="379" t="s">
        <v>1474</v>
      </c>
      <c r="AV65" s="405">
        <v>2018</v>
      </c>
      <c r="AW65" s="811">
        <v>2021</v>
      </c>
      <c r="AX65" s="63"/>
      <c r="BA65" s="17" t="s">
        <v>884</v>
      </c>
      <c r="BB65" s="782"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67"/>
        <v>1.1645459061796639</v>
      </c>
      <c r="BH65" s="60">
        <f t="shared" si="267"/>
        <v>1.2120216987124635</v>
      </c>
      <c r="BI65" s="60" cm="1">
        <f t="array" ref="BI65">1/AVERAGE(_xlfn._xlws.FILTER('Autonomie 2023 LDV'!$AM:$AM, ('Autonomie 2023 LDV'!$A:$A=$BA65)*('Autonomie 2023 LDV'!$B:$B=BI$3)*('Autonomie 2023 LDV'!$D:$D="Pickup")))</f>
        <v>1.2594974912452628</v>
      </c>
      <c r="BJ65" s="85">
        <f t="shared" si="268"/>
        <v>0.21308155372051449</v>
      </c>
      <c r="CG65" s="1087" t="s">
        <v>3981</v>
      </c>
      <c r="CH65" s="1087"/>
      <c r="CI65" s="1087"/>
      <c r="CJ65" s="1087"/>
      <c r="CK65" s="1087"/>
      <c r="CL65" s="1087"/>
      <c r="CM65" s="1087"/>
      <c r="CN65" s="1087"/>
      <c r="CO65" s="1087"/>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5" t="s">
        <v>1957</v>
      </c>
      <c r="DB65" s="390">
        <f t="shared" ref="DB65:DH65" si="305">CR65/CR60</f>
        <v>1.7276489277900062</v>
      </c>
      <c r="DC65" s="390">
        <f t="shared" si="305"/>
        <v>1.7309884677533867</v>
      </c>
      <c r="DD65" s="390">
        <f t="shared" si="305"/>
        <v>1.7507727893415679</v>
      </c>
      <c r="DE65" s="390">
        <f t="shared" si="305"/>
        <v>1.7860566238807341</v>
      </c>
      <c r="DF65" s="390">
        <f t="shared" si="305"/>
        <v>1.7972790691797973</v>
      </c>
      <c r="DG65" s="390">
        <f t="shared" si="305"/>
        <v>1.8077262133414376</v>
      </c>
      <c r="DH65" s="391">
        <f t="shared" si="305"/>
        <v>1.8174757161706041</v>
      </c>
      <c r="EC65" s="381" t="s">
        <v>241</v>
      </c>
      <c r="ED65" s="73" t="s">
        <v>4019</v>
      </c>
      <c r="EE65" s="73">
        <v>12.486860999999999</v>
      </c>
      <c r="EF65" s="73">
        <v>12.486863</v>
      </c>
      <c r="EG65" s="73">
        <v>12.486863</v>
      </c>
      <c r="EH65" s="73">
        <v>12.486860999999999</v>
      </c>
      <c r="EI65" s="73">
        <v>12.486860999999999</v>
      </c>
      <c r="EJ65" s="73">
        <v>12.486863</v>
      </c>
      <c r="EK65" s="73">
        <v>12.486863</v>
      </c>
      <c r="EM65" s="818" t="s">
        <v>2002</v>
      </c>
      <c r="EN65" s="445"/>
      <c r="EO65" s="445"/>
      <c r="EP65" s="445"/>
      <c r="EQ65" s="445"/>
      <c r="ER65" s="445"/>
      <c r="ES65" s="445"/>
      <c r="ET65" s="445"/>
      <c r="EU65" s="63"/>
    </row>
    <row r="66" spans="1:151" ht="15.75" thickBot="1" x14ac:dyDescent="0.3">
      <c r="A66" t="s">
        <v>4397</v>
      </c>
      <c r="B66" t="s">
        <v>4772</v>
      </c>
      <c r="C66" t="s">
        <v>4763</v>
      </c>
      <c r="D66" t="s">
        <v>95</v>
      </c>
      <c r="E66" t="s">
        <v>4050</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4065</v>
      </c>
      <c r="AL66" s="377">
        <v>3</v>
      </c>
      <c r="AM66" s="377">
        <v>1</v>
      </c>
      <c r="AN66" s="377">
        <v>1</v>
      </c>
      <c r="AO66" s="377">
        <v>3</v>
      </c>
      <c r="AP66" s="377">
        <v>1</v>
      </c>
      <c r="AT66" s="381" t="s">
        <v>1475</v>
      </c>
      <c r="AU66" t="s">
        <v>1475</v>
      </c>
      <c r="AV66" s="814">
        <f>'Background Data'!AL39</f>
        <v>0.52796277179654827</v>
      </c>
      <c r="AW66" s="815">
        <f>'Background Data'!AN39</f>
        <v>0.56868624710569682</v>
      </c>
      <c r="AX66" s="63"/>
      <c r="BA66" s="17" t="s">
        <v>885</v>
      </c>
      <c r="BB66" s="782"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67"/>
        <v>1.0535422277426816</v>
      </c>
      <c r="BH66" s="60">
        <f t="shared" si="267"/>
        <v>1.1031658977611956</v>
      </c>
      <c r="BI66" s="60" cm="1">
        <f t="array" ref="BI66">1/AVERAGE(_xlfn._xlws.FILTER('Autonomie 2023 LDV'!$AM:$AM, ('Autonomie 2023 LDV'!$A:$A=$BA66)*('Autonomie 2023 LDV'!$B:$B=BI$3)*('Autonomie 2023 LDV'!$D:$D="Pickup")))</f>
        <v>1.1527895677797093</v>
      </c>
      <c r="BJ66" s="85">
        <f t="shared" si="268"/>
        <v>0.25231117362107619</v>
      </c>
      <c r="CG66" s="1087"/>
      <c r="CH66" s="1087"/>
      <c r="CI66" s="1087"/>
      <c r="CJ66" s="1087"/>
      <c r="CK66" s="1087"/>
      <c r="CL66" s="1087"/>
      <c r="CM66" s="1087"/>
      <c r="CN66" s="1087"/>
      <c r="CO66" s="1087"/>
      <c r="CQ66" s="77" t="s">
        <v>4030</v>
      </c>
      <c r="DA66" s="392" t="s">
        <v>1963</v>
      </c>
      <c r="DB66" s="68"/>
      <c r="DC66" s="68"/>
      <c r="DD66" s="68"/>
      <c r="DE66" s="68"/>
      <c r="DF66" s="68"/>
      <c r="DG66" s="68"/>
      <c r="DH66" s="296"/>
      <c r="EC66" s="381" t="s">
        <v>240</v>
      </c>
      <c r="ED66" s="73" t="s">
        <v>4019</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4772</v>
      </c>
      <c r="C67" t="s">
        <v>4763</v>
      </c>
      <c r="D67" t="s">
        <v>95</v>
      </c>
      <c r="E67" t="s">
        <v>4050</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4065</v>
      </c>
      <c r="AL67" s="377">
        <v>3</v>
      </c>
      <c r="AM67" s="377">
        <v>1</v>
      </c>
      <c r="AN67" s="377">
        <v>1</v>
      </c>
      <c r="AO67" s="377">
        <v>3</v>
      </c>
      <c r="AP67" s="377">
        <v>1</v>
      </c>
      <c r="AT67" s="381" t="s">
        <v>1476</v>
      </c>
      <c r="AU67" t="s">
        <v>1479</v>
      </c>
      <c r="AV67" s="814">
        <f>'Background Data'!AL40+'Background Data'!AL36</f>
        <v>0.1599742743495487</v>
      </c>
      <c r="AW67" s="815">
        <f>'Background Data'!AN40+'Background Data'!AN36</f>
        <v>0.14746865808631804</v>
      </c>
      <c r="AX67" s="63"/>
      <c r="BA67" s="17" t="s">
        <v>567</v>
      </c>
      <c r="BB67" s="782"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67"/>
        <v>0.57723682322127645</v>
      </c>
      <c r="BH67" s="60">
        <f t="shared" si="267"/>
        <v>0.59216819710078961</v>
      </c>
      <c r="BI67" s="60" cm="1">
        <f t="array" ref="BI67">1/AVERAGE(_xlfn._xlws.FILTER('Autonomie 2023 LDV'!$AM:$AM, ('Autonomie 2023 LDV'!$A:$A=$BA67)*('Autonomie 2023 LDV'!$B:$B=BI$3)*('Autonomie 2023 LDV'!$D:$D="Pickup")))</f>
        <v>0.60709957098030287</v>
      </c>
      <c r="BJ67" s="85">
        <f t="shared" si="268"/>
        <v>0.19070673234465529</v>
      </c>
      <c r="CG67" s="1087"/>
      <c r="CH67" s="1087"/>
      <c r="CI67" s="1087"/>
      <c r="CJ67" s="1087"/>
      <c r="CK67" s="1087"/>
      <c r="CL67" s="1087"/>
      <c r="CM67" s="1087"/>
      <c r="CN67" s="1087"/>
      <c r="CO67" s="1087"/>
      <c r="CU67" s="60"/>
      <c r="CV67" s="60"/>
      <c r="CW67" s="60"/>
      <c r="CX67" s="60"/>
      <c r="CY67" s="85"/>
      <c r="EC67" s="381" t="s">
        <v>247</v>
      </c>
      <c r="ED67" s="73" t="s">
        <v>4018</v>
      </c>
      <c r="EE67" s="73">
        <v>27.219131000000001</v>
      </c>
      <c r="EF67" s="73">
        <v>27.325966000000001</v>
      </c>
      <c r="EG67" s="73">
        <v>27.583223</v>
      </c>
      <c r="EH67" s="73">
        <v>27.721041</v>
      </c>
      <c r="EI67" s="73">
        <v>27.722601000000001</v>
      </c>
      <c r="EJ67" s="73">
        <v>27.722559</v>
      </c>
      <c r="EK67" s="73">
        <v>27.722542000000001</v>
      </c>
      <c r="EM67" s="14" t="s">
        <v>4022</v>
      </c>
      <c r="EN67" s="445"/>
      <c r="EO67" s="445"/>
      <c r="EP67" s="445"/>
      <c r="EQ67" s="445"/>
      <c r="ER67" s="445"/>
      <c r="ES67" s="445"/>
      <c r="ET67" s="445"/>
      <c r="EU67" s="63"/>
    </row>
    <row r="68" spans="1:151" ht="15.75" x14ac:dyDescent="0.25">
      <c r="A68" t="s">
        <v>1039</v>
      </c>
      <c r="B68" t="s">
        <v>4772</v>
      </c>
      <c r="C68" t="s">
        <v>4763</v>
      </c>
      <c r="D68" t="s">
        <v>95</v>
      </c>
      <c r="E68" t="s">
        <v>4050</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4065</v>
      </c>
      <c r="AL68" s="377">
        <v>3</v>
      </c>
      <c r="AM68" s="377">
        <v>1</v>
      </c>
      <c r="AN68" s="377">
        <v>1</v>
      </c>
      <c r="AO68" s="377">
        <v>3</v>
      </c>
      <c r="AP68" s="377">
        <v>1</v>
      </c>
      <c r="AT68" s="381" t="s">
        <v>930</v>
      </c>
      <c r="AU68" t="s">
        <v>1480</v>
      </c>
      <c r="AV68" s="814">
        <f>'Background Data'!AL37+'Background Data'!AL38+'Background Data'!AL41</f>
        <v>0.31206295385390309</v>
      </c>
      <c r="AW68" s="815">
        <f>'Background Data'!AN37+'Background Data'!AN38+'Background Data'!AN41</f>
        <v>0.28384509480798514</v>
      </c>
      <c r="AX68" s="63"/>
      <c r="BA68" s="61" t="s">
        <v>3047</v>
      </c>
      <c r="BB68" s="17"/>
      <c r="BC68" s="60"/>
      <c r="BD68" s="60"/>
      <c r="BE68" s="60"/>
      <c r="BF68" s="60"/>
      <c r="BG68" s="60"/>
      <c r="BH68" s="60"/>
      <c r="BI68" s="60"/>
      <c r="BJ68" s="85"/>
      <c r="CQ68" s="304" t="s">
        <v>4013</v>
      </c>
      <c r="CU68" s="60"/>
      <c r="CV68" s="60"/>
      <c r="CW68" s="60"/>
      <c r="CX68" s="60"/>
      <c r="CY68" s="85"/>
      <c r="DA68" s="386" t="s">
        <v>4021</v>
      </c>
      <c r="DB68" s="369"/>
      <c r="DC68" s="369"/>
      <c r="DD68" s="369"/>
      <c r="DE68" s="369"/>
      <c r="DF68" s="369"/>
      <c r="DG68" s="369"/>
      <c r="DH68" s="369"/>
      <c r="EC68" s="381" t="s">
        <v>1027</v>
      </c>
      <c r="ED68" s="73" t="s">
        <v>4018</v>
      </c>
      <c r="EE68" s="73">
        <v>0</v>
      </c>
      <c r="EF68" s="73">
        <v>24.201412000000001</v>
      </c>
      <c r="EG68" s="73">
        <v>27.120087000000002</v>
      </c>
      <c r="EH68" s="73">
        <v>29.106612999999999</v>
      </c>
      <c r="EI68" s="73">
        <v>29.115503</v>
      </c>
      <c r="EJ68" s="73">
        <v>29.097477000000001</v>
      </c>
      <c r="EK68" s="73">
        <v>29.086570999999999</v>
      </c>
      <c r="EM68" s="17" t="s">
        <v>1592</v>
      </c>
      <c r="EN68" s="554">
        <f>L_100km_to_mpg/'Background Data'!BB59</f>
        <v>44.717703277838055</v>
      </c>
      <c r="EO68" s="554">
        <f>L_100km_to_mpg/'Background Data'!BC59</f>
        <v>42.228926255193556</v>
      </c>
      <c r="EP68" s="554">
        <f>L_100km_to_mpg/'Background Data'!BD59</f>
        <v>39.732283655646647</v>
      </c>
      <c r="EQ68" s="554">
        <f>L_100km_to_mpg/'Background Data'!BE59</f>
        <v>37.276564063617776</v>
      </c>
      <c r="ER68" s="554">
        <f>L_100km_to_mpg/'Background Data'!BF59</f>
        <v>35.477393550743308</v>
      </c>
      <c r="ES68" s="554">
        <f>L_100km_to_mpg/'Background Data'!BG59</f>
        <v>33.698441152067069</v>
      </c>
      <c r="ET68" s="554">
        <f>L_100km_to_mpg/'Background Data'!BH59</f>
        <v>31.915212922853208</v>
      </c>
      <c r="EU68" s="63"/>
    </row>
    <row r="69" spans="1:151" ht="15.75" thickBot="1" x14ac:dyDescent="0.3">
      <c r="A69" t="s">
        <v>1040</v>
      </c>
      <c r="B69" t="s">
        <v>4772</v>
      </c>
      <c r="C69" t="s">
        <v>4763</v>
      </c>
      <c r="D69" t="s">
        <v>95</v>
      </c>
      <c r="E69" t="s">
        <v>4050</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4065</v>
      </c>
      <c r="AL69" s="377">
        <v>3</v>
      </c>
      <c r="AM69" s="377">
        <v>1</v>
      </c>
      <c r="AN69" s="377">
        <v>1</v>
      </c>
      <c r="AO69" s="377">
        <v>3</v>
      </c>
      <c r="AP69" s="377">
        <v>1</v>
      </c>
      <c r="AT69" s="379" t="s">
        <v>1481</v>
      </c>
      <c r="AV69" s="405">
        <v>2020</v>
      </c>
      <c r="AW69" s="52"/>
      <c r="AX69" s="233">
        <v>2022</v>
      </c>
      <c r="BB69" s="61"/>
      <c r="CQ69" s="88" t="s">
        <v>4008</v>
      </c>
      <c r="CR69" s="88" t="s">
        <v>4011</v>
      </c>
      <c r="CS69" s="88" t="s">
        <v>4003</v>
      </c>
      <c r="CU69" s="60"/>
      <c r="CV69" s="60"/>
      <c r="CW69" s="60"/>
      <c r="CX69" s="60"/>
      <c r="CY69" s="85"/>
      <c r="DA69" s="88" t="s">
        <v>246</v>
      </c>
      <c r="DB69" s="88">
        <v>2022</v>
      </c>
      <c r="DC69" s="88">
        <v>2025</v>
      </c>
      <c r="DD69" s="88">
        <v>2030</v>
      </c>
      <c r="DE69" s="88">
        <v>2035</v>
      </c>
      <c r="DF69" s="88">
        <v>2040</v>
      </c>
      <c r="DG69" s="88">
        <v>2045</v>
      </c>
      <c r="DH69" s="88">
        <v>2050</v>
      </c>
      <c r="EC69" s="381" t="s">
        <v>1028</v>
      </c>
      <c r="ED69" s="73" t="s">
        <v>4019</v>
      </c>
      <c r="EE69" s="73">
        <v>0</v>
      </c>
      <c r="EF69" s="73">
        <v>19.473016999999999</v>
      </c>
      <c r="EG69" s="73">
        <v>20.301096000000001</v>
      </c>
      <c r="EH69" s="73">
        <v>21.002409</v>
      </c>
      <c r="EI69" s="73">
        <v>21.060576999999999</v>
      </c>
      <c r="EJ69" s="73">
        <v>21.046399999999998</v>
      </c>
      <c r="EK69" s="73">
        <v>21.257977</v>
      </c>
      <c r="EM69" s="17" t="s">
        <v>241</v>
      </c>
      <c r="EN69" s="554">
        <f>L_100km_to_mpg/'Background Data'!BB60</f>
        <v>49.208183941721366</v>
      </c>
      <c r="EO69" s="554">
        <f>L_100km_to_mpg/'Background Data'!BC60</f>
        <v>46.485201431112287</v>
      </c>
      <c r="EP69" s="554">
        <f>L_100km_to_mpg/'Background Data'!BD60</f>
        <v>43.720282386882552</v>
      </c>
      <c r="EQ69" s="554">
        <f>L_100km_to_mpg/'Background Data'!BE60</f>
        <v>40.978243770283648</v>
      </c>
      <c r="ER69" s="554">
        <f>L_100km_to_mpg/'Background Data'!BF60</f>
        <v>39.007482461265027</v>
      </c>
      <c r="ES69" s="554">
        <f>L_100km_to_mpg/'Background Data'!BG60</f>
        <v>37.100176536502865</v>
      </c>
      <c r="ET69" s="554">
        <f>L_100km_to_mpg/'Background Data'!BH60</f>
        <v>35.10673421513853</v>
      </c>
      <c r="EU69" s="63"/>
    </row>
    <row r="70" spans="1:151" ht="15.75" thickTop="1" x14ac:dyDescent="0.25">
      <c r="A70" t="s">
        <v>4422</v>
      </c>
      <c r="B70" t="s">
        <v>2064</v>
      </c>
      <c r="C70" t="s">
        <v>2040</v>
      </c>
      <c r="D70" t="s">
        <v>95</v>
      </c>
      <c r="E70" t="s">
        <v>4050</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4065</v>
      </c>
      <c r="AL70" s="377">
        <v>3</v>
      </c>
      <c r="AM70" s="377">
        <v>1</v>
      </c>
      <c r="AN70" s="377">
        <v>1</v>
      </c>
      <c r="AO70" s="377">
        <v>3</v>
      </c>
      <c r="AP70" s="377">
        <v>1</v>
      </c>
      <c r="AT70" s="381" t="s">
        <v>4001</v>
      </c>
      <c r="AU70" t="s">
        <v>4001</v>
      </c>
      <c r="AV70" s="72"/>
      <c r="AW70" s="52"/>
      <c r="AX70" s="813">
        <f>'Background Data'!$AF$45</f>
        <v>0.64368048757149066</v>
      </c>
      <c r="CQ70" t="s">
        <v>4009</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1" t="s">
        <v>567</v>
      </c>
      <c r="ED70" s="73" t="s">
        <v>4018</v>
      </c>
      <c r="EE70" s="73">
        <v>0</v>
      </c>
      <c r="EF70" s="73">
        <v>16.244858000000001</v>
      </c>
      <c r="EG70" s="73">
        <v>16.244858000000001</v>
      </c>
      <c r="EH70" s="73">
        <v>16.244858000000001</v>
      </c>
      <c r="EI70" s="73">
        <v>16.244858000000001</v>
      </c>
      <c r="EJ70" s="73">
        <v>16.244858000000001</v>
      </c>
      <c r="EK70" s="73">
        <v>16.244858000000001</v>
      </c>
      <c r="EM70" s="17" t="s">
        <v>247</v>
      </c>
      <c r="EN70" s="554">
        <f>L_100km_to_mpg/'Background Data'!BB61</f>
        <v>18.817209539314252</v>
      </c>
      <c r="EO70" s="554">
        <f>L_100km_to_mpg/'Background Data'!BC61</f>
        <v>17.685347311385573</v>
      </c>
      <c r="EP70" s="554">
        <f>L_100km_to_mpg/'Background Data'!BD61</f>
        <v>16.681923350455897</v>
      </c>
      <c r="EQ70" s="554">
        <f>L_100km_to_mpg/'Background Data'!BE61</f>
        <v>15.681007949428542</v>
      </c>
      <c r="ER70" s="554">
        <f>L_100km_to_mpg/'Background Data'!BF61</f>
        <v>14.981854728753385</v>
      </c>
      <c r="ES70" s="554">
        <f>L_100km_to_mpg/'Background Data'!BG61</f>
        <v>14.255461772207767</v>
      </c>
      <c r="ET70" s="554">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1" t="s">
        <v>1463</v>
      </c>
      <c r="AU71" t="s">
        <v>1463</v>
      </c>
      <c r="AV71" s="812">
        <f>'Background Data'!AL47</f>
        <v>0.34046005535935858</v>
      </c>
      <c r="AW71" s="291"/>
      <c r="AX71" s="813">
        <f>'Background Data'!$AF$46</f>
        <v>5.9006896957830658E-2</v>
      </c>
      <c r="BA71" s="329" t="s">
        <v>1687</v>
      </c>
      <c r="BB71" s="329"/>
      <c r="CQ71" t="s">
        <v>4010</v>
      </c>
      <c r="CR71">
        <v>7622</v>
      </c>
      <c r="CS71" s="85">
        <f>CR71/SUM($CR$70:$CR$71)</f>
        <v>0.62053244321419854</v>
      </c>
      <c r="DA71" s="28"/>
      <c r="DB71" s="60"/>
      <c r="DC71" s="60"/>
      <c r="DD71" s="60"/>
      <c r="DE71" s="60"/>
      <c r="DF71" s="60"/>
      <c r="DG71" s="60"/>
      <c r="DH71" s="60"/>
      <c r="EC71" s="379" t="s">
        <v>1029</v>
      </c>
      <c r="ED71" s="73"/>
      <c r="EE71" s="73"/>
      <c r="EF71" s="73"/>
      <c r="EG71" s="73"/>
      <c r="EH71" s="73"/>
      <c r="EI71" s="73"/>
      <c r="EJ71" s="73"/>
      <c r="EK71" s="73"/>
      <c r="EM71" s="17" t="s">
        <v>567</v>
      </c>
      <c r="EN71" s="554">
        <f>L_100km_to_mpg/'Background Data'!BB62</f>
        <v>30.117172758185422</v>
      </c>
      <c r="EO71" s="554">
        <f>L_100km_to_mpg/'Background Data'!BC62</f>
        <v>28.102164783922124</v>
      </c>
      <c r="EP71" s="554">
        <f>L_100km_to_mpg/'Background Data'!BD62</f>
        <v>26.048185962505887</v>
      </c>
      <c r="EQ71" s="554">
        <f>L_100km_to_mpg/'Background Data'!BE62</f>
        <v>24.026059166642305</v>
      </c>
      <c r="ER71" s="554">
        <f>L_100km_to_mpg/'Background Data'!BF62</f>
        <v>22.616838388598858</v>
      </c>
      <c r="ES71" s="554">
        <f>L_100km_to_mpg/'Background Data'!BG62</f>
        <v>21.190551283011544</v>
      </c>
      <c r="ET71" s="554">
        <f>L_100km_to_mpg/'Background Data'!BH62</f>
        <v>19.933484681476958</v>
      </c>
      <c r="EU71" s="63"/>
    </row>
    <row r="72" spans="1:151" ht="16.5" thickBot="1" x14ac:dyDescent="0.3">
      <c r="A72" t="s">
        <v>1024</v>
      </c>
      <c r="B72" t="s">
        <v>2053</v>
      </c>
      <c r="C72" t="s">
        <v>2041</v>
      </c>
      <c r="D72" t="s">
        <v>95</v>
      </c>
      <c r="E72" t="s">
        <v>4050</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4068</v>
      </c>
      <c r="AL72" s="377">
        <v>3</v>
      </c>
      <c r="AM72" s="377">
        <v>1</v>
      </c>
      <c r="AN72" s="377">
        <v>1</v>
      </c>
      <c r="AO72" s="377">
        <v>3</v>
      </c>
      <c r="AP72" s="377">
        <v>1</v>
      </c>
      <c r="AT72" s="381" t="s">
        <v>1464</v>
      </c>
      <c r="AU72" t="s">
        <v>1464</v>
      </c>
      <c r="AV72" s="812">
        <f>'Background Data'!AL48</f>
        <v>8.5186599217333209E-2</v>
      </c>
      <c r="AW72" s="52"/>
      <c r="AX72" s="813">
        <f>'Background Data'!$AF$47</f>
        <v>4.6541584165703642E-2</v>
      </c>
      <c r="BA72" s="88" t="s">
        <v>1680</v>
      </c>
      <c r="BB72" s="88" t="s">
        <v>92</v>
      </c>
      <c r="BC72" s="88">
        <v>2005</v>
      </c>
      <c r="BD72" s="88">
        <v>2020</v>
      </c>
      <c r="BE72" s="88">
        <v>2035</v>
      </c>
      <c r="BF72" s="88">
        <v>2050</v>
      </c>
      <c r="CQ72" s="61" t="s">
        <v>4012</v>
      </c>
      <c r="DA72" s="386" t="s">
        <v>4031</v>
      </c>
      <c r="DB72" s="369"/>
      <c r="DC72" s="369"/>
      <c r="DD72" s="369"/>
      <c r="DE72" s="369"/>
      <c r="DF72" s="369"/>
      <c r="DG72" s="369"/>
      <c r="DH72" s="369"/>
      <c r="EC72" s="396" t="s">
        <v>107</v>
      </c>
      <c r="ED72" s="73" t="s">
        <v>4018</v>
      </c>
      <c r="EE72" s="73">
        <v>10.573097000000001</v>
      </c>
      <c r="EF72" s="73">
        <v>11.977176</v>
      </c>
      <c r="EG72" s="73">
        <v>13.589658</v>
      </c>
      <c r="EH72" s="73">
        <v>13.905892</v>
      </c>
      <c r="EI72" s="73">
        <v>13.875050999999999</v>
      </c>
      <c r="EJ72" s="73">
        <v>13.853432</v>
      </c>
      <c r="EK72" s="73">
        <v>13.843116999999999</v>
      </c>
      <c r="EM72" s="14" t="s">
        <v>4023</v>
      </c>
      <c r="EN72" s="445"/>
      <c r="EO72" s="445"/>
      <c r="EP72" s="445"/>
      <c r="EQ72" s="445"/>
      <c r="ER72" s="445"/>
      <c r="ES72" s="445"/>
      <c r="ET72" s="445"/>
      <c r="EU72" s="63"/>
    </row>
    <row r="73" spans="1:151" ht="16.5" thickTop="1" thickBot="1" x14ac:dyDescent="0.3">
      <c r="A73" t="s">
        <v>1041</v>
      </c>
      <c r="B73" t="s">
        <v>2054</v>
      </c>
      <c r="C73" t="s">
        <v>2041</v>
      </c>
      <c r="D73" t="s">
        <v>95</v>
      </c>
      <c r="E73" t="s">
        <v>4050</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4068</v>
      </c>
      <c r="AL73" s="377">
        <v>3</v>
      </c>
      <c r="AM73" s="377">
        <v>1</v>
      </c>
      <c r="AN73" s="377">
        <v>1</v>
      </c>
      <c r="AO73" s="377">
        <v>3</v>
      </c>
      <c r="AP73" s="377">
        <v>1</v>
      </c>
      <c r="AT73" s="381" t="s">
        <v>1465</v>
      </c>
      <c r="AU73" t="s">
        <v>1465</v>
      </c>
      <c r="AV73" s="812">
        <f>'Background Data'!AL49</f>
        <v>0.29951321943304382</v>
      </c>
      <c r="AW73" s="52"/>
      <c r="AX73" s="813">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1" t="s">
        <v>108</v>
      </c>
      <c r="ED73" s="73" t="s">
        <v>4019</v>
      </c>
      <c r="EE73" s="73">
        <v>7.5911910000000002</v>
      </c>
      <c r="EF73" s="73">
        <v>8.1282580000000006</v>
      </c>
      <c r="EG73" s="73">
        <v>9.1422589999999992</v>
      </c>
      <c r="EH73" s="73">
        <v>9.5174789999999998</v>
      </c>
      <c r="EI73" s="73">
        <v>9.5162209999999998</v>
      </c>
      <c r="EJ73" s="73">
        <v>9.5155010000000004</v>
      </c>
      <c r="EK73" s="73">
        <v>9.5152990000000006</v>
      </c>
      <c r="EM73" s="17" t="s">
        <v>1592</v>
      </c>
      <c r="EN73" s="554">
        <f>L_100km_to_mpg/'Background Data'!BB64</f>
        <v>53.7020820185909</v>
      </c>
      <c r="EO73" s="554">
        <f>L_100km_to_mpg/'Background Data'!BC64</f>
        <v>50.69291362961814</v>
      </c>
      <c r="EP73" s="554">
        <f>L_100km_to_mpg/'Background Data'!BD64</f>
        <v>47.710977533758246</v>
      </c>
      <c r="EQ73" s="554">
        <f>L_100km_to_mpg/'Background Data'!BE64</f>
        <v>44.717703277838055</v>
      </c>
      <c r="ER73" s="554">
        <f>L_100km_to_mpg/'Background Data'!BF64</f>
        <v>42.611434645186257</v>
      </c>
      <c r="ES73" s="554">
        <f>L_100km_to_mpg/'Background Data'!BG64</f>
        <v>40.414968941826139</v>
      </c>
      <c r="ET73" s="554">
        <f>L_100km_to_mpg/'Background Data'!BH64</f>
        <v>38.308651342252141</v>
      </c>
      <c r="EU73" s="63"/>
    </row>
    <row r="74" spans="1:151" ht="15.75" thickTop="1" x14ac:dyDescent="0.25">
      <c r="A74" t="s">
        <v>1043</v>
      </c>
      <c r="B74" t="s">
        <v>2054</v>
      </c>
      <c r="C74" t="s">
        <v>2041</v>
      </c>
      <c r="D74" t="s">
        <v>95</v>
      </c>
      <c r="E74" t="s">
        <v>4050</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4068</v>
      </c>
      <c r="AL74" s="377">
        <v>3</v>
      </c>
      <c r="AM74" s="377">
        <v>1</v>
      </c>
      <c r="AN74" s="377">
        <v>1</v>
      </c>
      <c r="AO74" s="377">
        <v>3</v>
      </c>
      <c r="AP74" s="377">
        <v>1</v>
      </c>
      <c r="AT74" s="381" t="s">
        <v>1466</v>
      </c>
      <c r="AU74" t="s">
        <v>1466</v>
      </c>
      <c r="AV74" s="812">
        <f>'Background Data'!AL50</f>
        <v>4.0946835926314783E-2</v>
      </c>
      <c r="AW74" s="52"/>
      <c r="AX74" s="813">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1" t="s">
        <v>241</v>
      </c>
      <c r="ED74" s="73" t="s">
        <v>4019</v>
      </c>
      <c r="EE74" s="73">
        <v>7.292211</v>
      </c>
      <c r="EF74" s="73">
        <v>7.9397979999999997</v>
      </c>
      <c r="EG74" s="73">
        <v>8.8995069999999998</v>
      </c>
      <c r="EH74" s="73">
        <v>9.1586540000000003</v>
      </c>
      <c r="EI74" s="73">
        <v>9.1489410000000007</v>
      </c>
      <c r="EJ74" s="73">
        <v>9.1457750000000004</v>
      </c>
      <c r="EK74" s="73">
        <v>9.1445919999999994</v>
      </c>
      <c r="EM74" s="17" t="s">
        <v>241</v>
      </c>
      <c r="EN74" s="554">
        <f>L_100km_to_mpg/'Background Data'!BB65</f>
        <v>58.951157704618581</v>
      </c>
      <c r="EO74" s="554">
        <f>L_100km_to_mpg/'Background Data'!BC65</f>
        <v>55.738179915030365</v>
      </c>
      <c r="EP74" s="554">
        <f>L_100km_to_mpg/'Background Data'!BD65</f>
        <v>52.503374830675916</v>
      </c>
      <c r="EQ74" s="554">
        <f>L_100km_to_mpg/'Background Data'!BE65</f>
        <v>49.208183941721366</v>
      </c>
      <c r="ER74" s="554">
        <f>L_100km_to_mpg/'Background Data'!BF65</f>
        <v>46.855601442515571</v>
      </c>
      <c r="ES74" s="554">
        <f>L_100km_to_mpg/'Background Data'!BG65</f>
        <v>44.464105716716091</v>
      </c>
      <c r="ET74" s="554">
        <f>L_100km_to_mpg/'Background Data'!BH65</f>
        <v>42.15324717588318</v>
      </c>
      <c r="EU74" s="63"/>
    </row>
    <row r="75" spans="1:151" ht="14.45" customHeight="1" x14ac:dyDescent="0.25">
      <c r="A75" t="s">
        <v>1044</v>
      </c>
      <c r="B75" t="s">
        <v>4040</v>
      </c>
      <c r="C75" t="s">
        <v>2041</v>
      </c>
      <c r="D75" t="s">
        <v>95</v>
      </c>
      <c r="E75" t="s">
        <v>4050</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4068</v>
      </c>
      <c r="AL75" s="377">
        <v>3</v>
      </c>
      <c r="AM75" s="377">
        <v>1</v>
      </c>
      <c r="AN75" s="377">
        <v>1</v>
      </c>
      <c r="AO75" s="377">
        <v>3</v>
      </c>
      <c r="AP75" s="377">
        <v>1</v>
      </c>
      <c r="AT75" s="381" t="s">
        <v>1467</v>
      </c>
      <c r="AU75" t="s">
        <v>1467</v>
      </c>
      <c r="AV75" s="812">
        <f>'Background Data'!AL51</f>
        <v>0.2338932900639496</v>
      </c>
      <c r="AW75" s="52"/>
      <c r="AX75" s="813">
        <f>'Background Data'!$AF$50</f>
        <v>2.1353334756398272E-2</v>
      </c>
      <c r="BA75" t="s">
        <v>1683</v>
      </c>
      <c r="BB75" t="s">
        <v>1682</v>
      </c>
      <c r="BC75" s="60">
        <v>1.35</v>
      </c>
      <c r="BD75" s="60">
        <v>1.2</v>
      </c>
      <c r="BE75" s="60">
        <v>1.08</v>
      </c>
      <c r="BF75" s="60">
        <v>0.98181818181818192</v>
      </c>
      <c r="EC75" s="381" t="s">
        <v>240</v>
      </c>
      <c r="ED75" s="73" t="s">
        <v>4020</v>
      </c>
      <c r="EE75" s="73">
        <v>7.268243</v>
      </c>
      <c r="EF75" s="73">
        <v>7.9198219999999999</v>
      </c>
      <c r="EG75" s="73">
        <v>8.9058630000000001</v>
      </c>
      <c r="EH75" s="73">
        <v>9.2703319999999998</v>
      </c>
      <c r="EI75" s="73">
        <v>9.2696070000000006</v>
      </c>
      <c r="EJ75" s="73">
        <v>9.2689599999999999</v>
      </c>
      <c r="EK75" s="73">
        <v>9.2686039999999998</v>
      </c>
      <c r="EM75" s="17" t="s">
        <v>247</v>
      </c>
      <c r="EN75" s="554">
        <f>L_100km_to_mpg/'Background Data'!BB66</f>
        <v>18.093470710879089</v>
      </c>
      <c r="EO75" s="554">
        <f>L_100km_to_mpg/'Background Data'!BC66</f>
        <v>17.044573858074504</v>
      </c>
      <c r="EP75" s="554">
        <f>L_100km_to_mpg/'Background Data'!BD66</f>
        <v>16.001028519825045</v>
      </c>
      <c r="EQ75" s="554">
        <f>L_100km_to_mpg/'Background Data'!BE66</f>
        <v>15.077892259065907</v>
      </c>
      <c r="ER75" s="554">
        <f>L_100km_to_mpg/'Background Data'!BF66</f>
        <v>14.342385319599279</v>
      </c>
      <c r="ES75" s="554">
        <f>L_100km_to_mpg/'Background Data'!BG66</f>
        <v>13.67529763031559</v>
      </c>
      <c r="ET75" s="554">
        <f>L_100km_to_mpg/'Background Data'!BH66</f>
        <v>12.995310455327521</v>
      </c>
      <c r="EU75" s="63"/>
    </row>
    <row r="76" spans="1:151" ht="14.45" customHeight="1" x14ac:dyDescent="0.25">
      <c r="A76" t="s">
        <v>1071</v>
      </c>
      <c r="B76" t="s">
        <v>2062</v>
      </c>
      <c r="C76" t="s">
        <v>2041</v>
      </c>
      <c r="D76" t="s">
        <v>95</v>
      </c>
      <c r="E76" t="s">
        <v>4050</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4068</v>
      </c>
      <c r="AL76" s="377">
        <v>3</v>
      </c>
      <c r="AM76" s="377">
        <v>1</v>
      </c>
      <c r="AN76" s="377">
        <v>1</v>
      </c>
      <c r="AO76" s="377">
        <v>3</v>
      </c>
      <c r="AP76" s="377">
        <v>1</v>
      </c>
      <c r="AT76" s="64"/>
      <c r="AV76" s="30"/>
      <c r="AX76" s="63"/>
      <c r="BB76" t="s">
        <v>247</v>
      </c>
      <c r="BC76" s="60">
        <v>0.45696071749258971</v>
      </c>
      <c r="BD76" s="60">
        <v>0.45218412462681351</v>
      </c>
      <c r="BE76" s="60">
        <v>0.44750635782032927</v>
      </c>
      <c r="BF76" s="60">
        <v>0.4429243814603942</v>
      </c>
      <c r="DA76" s="28" t="s">
        <v>4032</v>
      </c>
      <c r="EC76" s="381" t="s">
        <v>247</v>
      </c>
      <c r="ED76" s="73" t="s">
        <v>4019</v>
      </c>
      <c r="EE76" s="73">
        <v>17.261649999999999</v>
      </c>
      <c r="EF76" s="73">
        <v>18.277363000000001</v>
      </c>
      <c r="EG76" s="73">
        <v>20.588906999999999</v>
      </c>
      <c r="EH76" s="73">
        <v>21.688912999999999</v>
      </c>
      <c r="EI76" s="73">
        <v>21.806774000000001</v>
      </c>
      <c r="EJ76" s="73">
        <v>21.816706</v>
      </c>
      <c r="EK76" s="73">
        <v>21.828533</v>
      </c>
      <c r="EM76" s="17" t="s">
        <v>567</v>
      </c>
      <c r="EN76" s="554">
        <f>L_100km_to_mpg/'Background Data'!BB67</f>
        <v>28.9317489841855</v>
      </c>
      <c r="EO76" s="554">
        <f>L_100km_to_mpg/'Background Data'!BC67</f>
        <v>26.974210922182124</v>
      </c>
      <c r="EP76" s="554">
        <f>L_100km_to_mpg/'Background Data'!BD67</f>
        <v>25.022885025683845</v>
      </c>
      <c r="EQ76" s="554">
        <f>L_100km_to_mpg/'Background Data'!BE67</f>
        <v>23.060305807983152</v>
      </c>
      <c r="ER76" s="554">
        <f>L_100km_to_mpg/'Background Data'!BF67</f>
        <v>21.779177707539642</v>
      </c>
      <c r="ES76" s="554">
        <f>L_100km_to_mpg/'Background Data'!BG67</f>
        <v>20.453488629689403</v>
      </c>
      <c r="ET76" s="554">
        <f>L_100km_to_mpg/'Background Data'!BH67</f>
        <v>19.123180426132368</v>
      </c>
      <c r="EU76" s="63"/>
    </row>
    <row r="77" spans="1:151" ht="15.75" thickBot="1" x14ac:dyDescent="0.3">
      <c r="A77" t="s">
        <v>1072</v>
      </c>
      <c r="B77" t="s">
        <v>2065</v>
      </c>
      <c r="C77" t="s">
        <v>2041</v>
      </c>
      <c r="D77" t="s">
        <v>95</v>
      </c>
      <c r="E77" t="s">
        <v>4050</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4068</v>
      </c>
      <c r="AL77" s="377">
        <v>3</v>
      </c>
      <c r="AM77" s="377">
        <v>1</v>
      </c>
      <c r="AN77" s="377">
        <v>1</v>
      </c>
      <c r="AO77" s="377">
        <v>3</v>
      </c>
      <c r="AP77" s="377">
        <v>1</v>
      </c>
      <c r="AT77" s="1112" t="s">
        <v>1546</v>
      </c>
      <c r="AU77" s="1039"/>
      <c r="AV77" s="1039"/>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1" t="s">
        <v>1027</v>
      </c>
      <c r="ED77" s="73" t="s">
        <v>4019</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2065</v>
      </c>
      <c r="C78" t="s">
        <v>2041</v>
      </c>
      <c r="D78" t="s">
        <v>95</v>
      </c>
      <c r="E78" t="s">
        <v>4050</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4068</v>
      </c>
      <c r="AL78" s="377">
        <v>3</v>
      </c>
      <c r="AM78" s="377">
        <v>1</v>
      </c>
      <c r="AN78" s="377">
        <v>1</v>
      </c>
      <c r="AO78" s="377">
        <v>3</v>
      </c>
      <c r="AP78" s="377">
        <v>1</v>
      </c>
      <c r="AT78" s="232" t="s">
        <v>1472</v>
      </c>
      <c r="AU78" s="88" t="s">
        <v>672</v>
      </c>
      <c r="AV78" s="88" t="s">
        <v>1942</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1" t="s">
        <v>1028</v>
      </c>
      <c r="ED78" s="73" t="s">
        <v>4019</v>
      </c>
      <c r="EE78" s="73">
        <v>0</v>
      </c>
      <c r="EF78" s="73">
        <v>10.816065</v>
      </c>
      <c r="EG78" s="73">
        <v>11.822108999999999</v>
      </c>
      <c r="EH78" s="73">
        <v>13.026942</v>
      </c>
      <c r="EI78" s="73">
        <v>13.254457</v>
      </c>
      <c r="EJ78" s="73">
        <v>13.225935</v>
      </c>
      <c r="EK78" s="73">
        <v>13.183807</v>
      </c>
      <c r="EM78" s="14" t="s">
        <v>4033</v>
      </c>
      <c r="EN78" s="445"/>
      <c r="EO78" s="445"/>
      <c r="EP78" s="445"/>
      <c r="EQ78" s="445"/>
      <c r="ER78" s="445"/>
      <c r="ES78" s="445"/>
      <c r="ET78" s="445"/>
      <c r="EU78" s="63"/>
    </row>
    <row r="79" spans="1:151" ht="21.75" thickTop="1" x14ac:dyDescent="0.35">
      <c r="A79" t="s">
        <v>1074</v>
      </c>
      <c r="B79" t="s">
        <v>2054</v>
      </c>
      <c r="C79" t="s">
        <v>2042</v>
      </c>
      <c r="D79" t="s">
        <v>95</v>
      </c>
      <c r="E79" t="s">
        <v>4050</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4069</v>
      </c>
      <c r="AL79" s="377">
        <v>3</v>
      </c>
      <c r="AM79" s="377">
        <v>1</v>
      </c>
      <c r="AN79" s="377">
        <v>1</v>
      </c>
      <c r="AO79" s="377">
        <v>3</v>
      </c>
      <c r="AP79" s="377">
        <v>1</v>
      </c>
      <c r="AT79" s="379" t="s">
        <v>1543</v>
      </c>
      <c r="AX79" s="63"/>
      <c r="BJ79" s="1093" t="s">
        <v>2137</v>
      </c>
      <c r="BK79" s="1094"/>
      <c r="BL79" s="1094"/>
      <c r="BM79" s="1094"/>
      <c r="BN79" s="1094"/>
      <c r="BO79" s="1094"/>
      <c r="BP79" s="1094"/>
      <c r="BQ79" s="1094"/>
      <c r="BR79" s="1095"/>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4035</v>
      </c>
      <c r="DB79" s="390">
        <f>EN80/EN$79</f>
        <v>0.90874524714828919</v>
      </c>
      <c r="DC79" s="390">
        <f t="shared" ref="DC79:DH79" si="329">EO80/EO$79</f>
        <v>0.90843806104129243</v>
      </c>
      <c r="DD79" s="390">
        <f t="shared" si="329"/>
        <v>0.90878378378378377</v>
      </c>
      <c r="DE79" s="390">
        <f t="shared" si="329"/>
        <v>0.90966719492868486</v>
      </c>
      <c r="DF79" s="390">
        <f t="shared" si="329"/>
        <v>0.90950226244343879</v>
      </c>
      <c r="DG79" s="390">
        <f t="shared" si="329"/>
        <v>0.90830945558739251</v>
      </c>
      <c r="DH79" s="390">
        <f t="shared" si="329"/>
        <v>0.90909090909090928</v>
      </c>
      <c r="EC79" s="381" t="s">
        <v>567</v>
      </c>
      <c r="ED79" s="73" t="s">
        <v>4019</v>
      </c>
      <c r="EE79" s="73">
        <v>0</v>
      </c>
      <c r="EF79" s="73">
        <v>11.5169</v>
      </c>
      <c r="EG79" s="73">
        <v>11.516907</v>
      </c>
      <c r="EH79" s="73">
        <v>11.51695</v>
      </c>
      <c r="EI79" s="73">
        <v>11.516947999999999</v>
      </c>
      <c r="EJ79" s="73">
        <v>11.516968</v>
      </c>
      <c r="EK79" s="73">
        <v>11.516980999999999</v>
      </c>
      <c r="EM79" s="17" t="s">
        <v>1592</v>
      </c>
      <c r="EN79" s="554">
        <f t="shared" ref="EN79:ET82" si="330">1/(EN68*DSL_PJ_ML*10)</f>
        <v>5.7934823042059477E-2</v>
      </c>
      <c r="EO79" s="554">
        <f t="shared" si="330"/>
        <v>6.1349232765070601E-2</v>
      </c>
      <c r="EP79" s="554">
        <f t="shared" si="330"/>
        <v>6.5204211484599275E-2</v>
      </c>
      <c r="EQ79" s="554">
        <f t="shared" si="330"/>
        <v>6.9499759200645495E-2</v>
      </c>
      <c r="ER79" s="554">
        <f t="shared" si="330"/>
        <v>7.3024311172786016E-2</v>
      </c>
      <c r="ES79" s="554">
        <f t="shared" si="330"/>
        <v>7.687928989231467E-2</v>
      </c>
      <c r="ET79" s="554">
        <f t="shared" si="330"/>
        <v>8.1174837608360903E-2</v>
      </c>
      <c r="EU79" s="63"/>
    </row>
    <row r="80" spans="1:151" x14ac:dyDescent="0.25">
      <c r="A80" t="s">
        <v>1075</v>
      </c>
      <c r="B80" t="s">
        <v>2054</v>
      </c>
      <c r="C80" t="s">
        <v>2042</v>
      </c>
      <c r="D80" t="s">
        <v>95</v>
      </c>
      <c r="E80" t="s">
        <v>4050</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4069</v>
      </c>
      <c r="AL80" s="377">
        <v>3</v>
      </c>
      <c r="AM80" s="377">
        <v>1</v>
      </c>
      <c r="AN80" s="377">
        <v>1</v>
      </c>
      <c r="AO80" s="377">
        <v>3</v>
      </c>
      <c r="AP80" s="377">
        <v>1</v>
      </c>
      <c r="AT80" s="381" t="s">
        <v>3999</v>
      </c>
      <c r="AU80" t="s">
        <v>1931</v>
      </c>
      <c r="AV80" s="750">
        <f>'Background Data'!AL124/SUM('Background Data'!AL124,'Background Data'!AL131)</f>
        <v>0.18272858103533385</v>
      </c>
      <c r="AX80" s="63"/>
      <c r="BA80" s="28" t="s">
        <v>1689</v>
      </c>
      <c r="BB80" s="28"/>
      <c r="BJ80" s="379" t="s">
        <v>1958</v>
      </c>
      <c r="BR80" s="63"/>
      <c r="BW80" t="s">
        <v>17</v>
      </c>
      <c r="CG80" t="s">
        <v>4006</v>
      </c>
      <c r="DA80" t="s">
        <v>1955</v>
      </c>
      <c r="DB80" s="390">
        <f t="shared" ref="DB80:DB81" si="332">EN81/EN$79</f>
        <v>2.376425855513308</v>
      </c>
      <c r="DC80" s="390">
        <f t="shared" ref="DC80:DC81" si="333">EO81/EO$79</f>
        <v>2.3877917414721721</v>
      </c>
      <c r="DD80" s="390">
        <f t="shared" ref="DD80:DD81" si="334">EP81/EP$79</f>
        <v>2.3817567567567566</v>
      </c>
      <c r="DE80" s="390">
        <f t="shared" ref="DE80:DE81" si="335">EQ81/EQ$79</f>
        <v>2.3771790808240891</v>
      </c>
      <c r="DF80" s="390">
        <f t="shared" ref="DF80:DF81" si="336">ER81/ER$79</f>
        <v>2.3680241327300147</v>
      </c>
      <c r="DG80" s="390">
        <f t="shared" ref="DG80:DG81" si="337">ES81/ES$79</f>
        <v>2.3638968481375358</v>
      </c>
      <c r="DH80" s="390">
        <f t="shared" ref="DH80:DH81" si="338">ET81/ET$79</f>
        <v>2.360922659430122</v>
      </c>
      <c r="EC80" s="379" t="s">
        <v>1031</v>
      </c>
      <c r="ED80" s="73"/>
      <c r="EE80" s="73"/>
      <c r="EF80" s="73"/>
      <c r="EG80" s="73"/>
      <c r="EH80" s="73"/>
      <c r="EI80" s="73"/>
      <c r="EJ80" s="73"/>
      <c r="EK80" s="73"/>
      <c r="EM80" s="17" t="s">
        <v>241</v>
      </c>
      <c r="EN80" s="554">
        <f t="shared" si="330"/>
        <v>5.2647995083848736E-2</v>
      </c>
      <c r="EO80" s="554">
        <f t="shared" si="330"/>
        <v>5.5731978059471665E-2</v>
      </c>
      <c r="EP80" s="554">
        <f t="shared" si="330"/>
        <v>5.925653003161218E-2</v>
      </c>
      <c r="EQ80" s="554">
        <f t="shared" si="330"/>
        <v>6.3221651000270246E-2</v>
      </c>
      <c r="ER80" s="554">
        <f t="shared" si="330"/>
        <v>6.6415776225022566E-2</v>
      </c>
      <c r="ES80" s="554">
        <f t="shared" si="330"/>
        <v>6.9830185948033668E-2</v>
      </c>
      <c r="ET80" s="554">
        <f t="shared" si="330"/>
        <v>7.3795306916691741E-2</v>
      </c>
      <c r="EU80" s="63"/>
    </row>
    <row r="81" spans="1:151" ht="15.75" thickBot="1" x14ac:dyDescent="0.3">
      <c r="A81" t="s">
        <v>1076</v>
      </c>
      <c r="B81" t="s">
        <v>4038</v>
      </c>
      <c r="C81" t="s">
        <v>2042</v>
      </c>
      <c r="D81" t="s">
        <v>95</v>
      </c>
      <c r="E81" t="s">
        <v>4050</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4069</v>
      </c>
      <c r="AL81" s="377">
        <v>3</v>
      </c>
      <c r="AM81" s="377">
        <v>1</v>
      </c>
      <c r="AN81" s="377">
        <v>1</v>
      </c>
      <c r="AO81" s="377">
        <v>3</v>
      </c>
      <c r="AP81" s="377">
        <v>1</v>
      </c>
      <c r="AT81" s="388" t="s">
        <v>4000</v>
      </c>
      <c r="AU81" s="68" t="s">
        <v>1932</v>
      </c>
      <c r="AV81" s="816">
        <f>'Background Data'!AL131/SUM('Background Data'!AL124,'Background Data'!AL131)</f>
        <v>0.81727141896466615</v>
      </c>
      <c r="AW81" s="68"/>
      <c r="AX81" s="296"/>
      <c r="BA81" s="88" t="s">
        <v>1688</v>
      </c>
      <c r="BB81" s="88">
        <v>2020</v>
      </c>
      <c r="BC81" s="88">
        <v>2025</v>
      </c>
      <c r="BD81" s="88">
        <v>2030</v>
      </c>
      <c r="BE81" s="88">
        <v>2035</v>
      </c>
      <c r="BF81" s="88">
        <v>2040</v>
      </c>
      <c r="BG81" s="88">
        <v>2045</v>
      </c>
      <c r="BH81" s="88">
        <v>2050</v>
      </c>
      <c r="BJ81" s="232" t="s">
        <v>1688</v>
      </c>
      <c r="BK81" s="83" t="s">
        <v>1928</v>
      </c>
      <c r="BL81" s="88">
        <v>2025</v>
      </c>
      <c r="BM81" s="88"/>
      <c r="BN81" s="88">
        <v>2030</v>
      </c>
      <c r="BO81" s="88">
        <v>2035</v>
      </c>
      <c r="BP81" s="88">
        <v>2040</v>
      </c>
      <c r="BQ81" s="88">
        <v>2045</v>
      </c>
      <c r="BR81" s="378">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1956</v>
      </c>
      <c r="DB81" s="390">
        <f t="shared" si="332"/>
        <v>1.4847908745247151</v>
      </c>
      <c r="DC81" s="390">
        <f t="shared" si="333"/>
        <v>1.5026929982046675</v>
      </c>
      <c r="DD81" s="390">
        <f t="shared" si="334"/>
        <v>1.5253378378378373</v>
      </c>
      <c r="DE81" s="390">
        <f t="shared" si="335"/>
        <v>1.5515055467511885</v>
      </c>
      <c r="DF81" s="390">
        <f t="shared" si="336"/>
        <v>1.5686274509803917</v>
      </c>
      <c r="DG81" s="390">
        <f t="shared" si="337"/>
        <v>1.5902578796561606</v>
      </c>
      <c r="DH81" s="390">
        <f t="shared" si="338"/>
        <v>1.6010854816824969</v>
      </c>
      <c r="EC81" s="396" t="s">
        <v>107</v>
      </c>
      <c r="ED81" s="73" t="s">
        <v>4018</v>
      </c>
      <c r="EE81" s="73">
        <v>6.6741390000000003</v>
      </c>
      <c r="EF81" s="73">
        <v>7.3028760000000004</v>
      </c>
      <c r="EG81" s="73">
        <v>7.9559100000000003</v>
      </c>
      <c r="EH81" s="73">
        <v>8.1314919999999997</v>
      </c>
      <c r="EI81" s="73">
        <v>8.1306799999999999</v>
      </c>
      <c r="EJ81" s="73">
        <v>8.1243200000000009</v>
      </c>
      <c r="EK81" s="73">
        <v>8.1407100000000003</v>
      </c>
      <c r="EM81" s="17" t="s">
        <v>247</v>
      </c>
      <c r="EN81" s="554">
        <f t="shared" si="330"/>
        <v>0.13767781141173829</v>
      </c>
      <c r="EO81" s="554">
        <f t="shared" si="330"/>
        <v>0.14648919134208957</v>
      </c>
      <c r="EP81" s="554">
        <f t="shared" si="330"/>
        <v>0.15530057127244082</v>
      </c>
      <c r="EQ81" s="554">
        <f t="shared" si="330"/>
        <v>0.16521337369408598</v>
      </c>
      <c r="ER81" s="554">
        <f t="shared" si="330"/>
        <v>0.17292333113314332</v>
      </c>
      <c r="ES81" s="554">
        <f t="shared" si="330"/>
        <v>0.18173471106349456</v>
      </c>
      <c r="ET81" s="554">
        <f t="shared" si="330"/>
        <v>0.19164751348513973</v>
      </c>
      <c r="EU81" s="63"/>
    </row>
    <row r="82" spans="1:151" x14ac:dyDescent="0.25">
      <c r="A82" t="s">
        <v>1077</v>
      </c>
      <c r="B82" t="s">
        <v>2063</v>
      </c>
      <c r="C82" t="s">
        <v>2042</v>
      </c>
      <c r="D82" t="s">
        <v>95</v>
      </c>
      <c r="E82" t="s">
        <v>4050</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4069</v>
      </c>
      <c r="AL82" s="377">
        <v>3</v>
      </c>
      <c r="AM82" s="377">
        <v>1</v>
      </c>
      <c r="AN82" s="377">
        <v>1</v>
      </c>
      <c r="AO82" s="377">
        <v>3</v>
      </c>
      <c r="AP82" s="377">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4007</v>
      </c>
      <c r="CH82">
        <v>19.250558686511024</v>
      </c>
      <c r="CI82">
        <v>17.203323516665971</v>
      </c>
      <c r="CJ82">
        <v>15.523382239608681</v>
      </c>
      <c r="CK82">
        <v>14.028591560753084</v>
      </c>
      <c r="CL82">
        <v>13.583592532921813</v>
      </c>
      <c r="CM82">
        <v>13.165957017075883</v>
      </c>
      <c r="CN82">
        <v>12.773236376337813</v>
      </c>
      <c r="DA82" s="61" t="s">
        <v>1963</v>
      </c>
      <c r="EC82" s="381" t="s">
        <v>108</v>
      </c>
      <c r="ED82" s="73" t="s">
        <v>4019</v>
      </c>
      <c r="EE82" s="73">
        <v>6.9596289999999996</v>
      </c>
      <c r="EF82" s="73">
        <v>6.0720479999999997</v>
      </c>
      <c r="EG82" s="73">
        <v>6.4585290000000004</v>
      </c>
      <c r="EH82" s="73">
        <v>6.7106630000000003</v>
      </c>
      <c r="EI82" s="73">
        <v>6.7035689999999999</v>
      </c>
      <c r="EJ82" s="73">
        <v>6.7314930000000004</v>
      </c>
      <c r="EK82" s="73">
        <v>6.7935040000000004</v>
      </c>
      <c r="EM82" s="17" t="s">
        <v>567</v>
      </c>
      <c r="EN82" s="554">
        <f t="shared" si="330"/>
        <v>8.6021096570054106E-2</v>
      </c>
      <c r="EO82" s="554">
        <f t="shared" si="330"/>
        <v>9.2189062521299964E-2</v>
      </c>
      <c r="EP82" s="554">
        <f t="shared" si="330"/>
        <v>9.9458450963839734E-2</v>
      </c>
      <c r="EQ82" s="554">
        <f t="shared" si="330"/>
        <v>0.10782926189767343</v>
      </c>
      <c r="ER82" s="554">
        <f t="shared" si="330"/>
        <v>0.11454793909456627</v>
      </c>
      <c r="ES82" s="554">
        <f t="shared" si="330"/>
        <v>0.12225789653362362</v>
      </c>
      <c r="ET82" s="554">
        <f t="shared" si="330"/>
        <v>0.12996785397268099</v>
      </c>
      <c r="EU82" s="63"/>
    </row>
    <row r="83" spans="1:151" x14ac:dyDescent="0.25">
      <c r="A83" t="s">
        <v>1078</v>
      </c>
      <c r="B83" t="s">
        <v>2066</v>
      </c>
      <c r="C83" t="s">
        <v>2042</v>
      </c>
      <c r="D83" t="s">
        <v>95</v>
      </c>
      <c r="E83" t="s">
        <v>4050</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4069</v>
      </c>
      <c r="AL83" s="377">
        <v>3</v>
      </c>
      <c r="AM83" s="377">
        <v>1</v>
      </c>
      <c r="AN83" s="377">
        <v>1</v>
      </c>
      <c r="AO83" s="377">
        <v>3</v>
      </c>
      <c r="AP83" s="377">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9" t="s">
        <v>1955</v>
      </c>
      <c r="BK83" s="390">
        <f>BB83/BB82+(BL83-BB83/BB82)/5</f>
        <v>3.0480686215106996</v>
      </c>
      <c r="BL83" s="390">
        <f>BC83/BC82</f>
        <v>2.9686600201486972</v>
      </c>
      <c r="BM83" s="390"/>
      <c r="BN83" s="390">
        <f>BD83/BD82</f>
        <v>2.8762448375291259</v>
      </c>
      <c r="BO83" s="390">
        <f>BE83/BE82</f>
        <v>2.7899906670841919</v>
      </c>
      <c r="BP83" s="390">
        <f>BF83/BF82</f>
        <v>2.7093012818292537</v>
      </c>
      <c r="BQ83" s="390">
        <f>BG83/BG82</f>
        <v>2.6336549831527494</v>
      </c>
      <c r="BR83" s="391">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1" t="s">
        <v>241</v>
      </c>
      <c r="ED83" s="73" t="s">
        <v>4018</v>
      </c>
      <c r="EE83" s="73">
        <v>6.2555990000000001</v>
      </c>
      <c r="EF83" s="73">
        <v>6.8722630000000002</v>
      </c>
      <c r="EG83" s="73">
        <v>7.4347209999999997</v>
      </c>
      <c r="EH83" s="73">
        <v>7.5954969999999999</v>
      </c>
      <c r="EI83" s="73">
        <v>7.5832319999999998</v>
      </c>
      <c r="EJ83" s="73">
        <v>7.5757190000000003</v>
      </c>
      <c r="EK83" s="73">
        <v>7.5872270000000004</v>
      </c>
      <c r="EM83" s="14" t="s">
        <v>4034</v>
      </c>
      <c r="EN83" s="445"/>
      <c r="EO83" s="445"/>
      <c r="EP83" s="445"/>
      <c r="EQ83" s="445"/>
      <c r="ER83" s="445"/>
      <c r="ES83" s="445"/>
      <c r="ET83" s="445"/>
      <c r="EU83" s="63"/>
    </row>
    <row r="84" spans="1:151" ht="15.75" thickBot="1" x14ac:dyDescent="0.3">
      <c r="A84" t="s">
        <v>1079</v>
      </c>
      <c r="B84" t="s">
        <v>2066</v>
      </c>
      <c r="C84" t="s">
        <v>2042</v>
      </c>
      <c r="D84" t="s">
        <v>95</v>
      </c>
      <c r="E84" t="s">
        <v>4050</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4069</v>
      </c>
      <c r="AL84" s="377">
        <v>3</v>
      </c>
      <c r="AM84" s="377">
        <v>1</v>
      </c>
      <c r="AN84" s="377">
        <v>1</v>
      </c>
      <c r="AO84" s="377">
        <v>3</v>
      </c>
      <c r="AP84" s="377">
        <v>1</v>
      </c>
      <c r="BJ84" s="392" t="s">
        <v>1952</v>
      </c>
      <c r="BK84" s="68"/>
      <c r="BL84" s="68"/>
      <c r="BM84" s="68"/>
      <c r="BN84" s="68"/>
      <c r="BO84" s="68"/>
      <c r="BP84" s="68"/>
      <c r="BQ84" s="68"/>
      <c r="BR84" s="296"/>
      <c r="BW84" t="s">
        <v>3001</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1" t="s">
        <v>247</v>
      </c>
      <c r="ED84" s="73" t="s">
        <v>4018</v>
      </c>
      <c r="EE84" s="73">
        <v>10.834061999999999</v>
      </c>
      <c r="EF84" s="73">
        <v>11.061455</v>
      </c>
      <c r="EG84" s="73">
        <v>11.454438</v>
      </c>
      <c r="EH84" s="73">
        <v>11.570686</v>
      </c>
      <c r="EI84" s="73">
        <v>11.57612</v>
      </c>
      <c r="EJ84" s="73">
        <v>11.58811</v>
      </c>
      <c r="EK84" s="73">
        <v>11.610388</v>
      </c>
      <c r="EM84" s="17" t="s">
        <v>1592</v>
      </c>
      <c r="EN84" s="554">
        <f t="shared" ref="EN84:ET87" si="340">1/(EN73*DSL_PJ_ML*10)</f>
        <v>4.8242305118673112E-2</v>
      </c>
      <c r="EO84" s="554">
        <f t="shared" si="340"/>
        <v>5.1106003596037258E-2</v>
      </c>
      <c r="EP84" s="554">
        <f t="shared" si="340"/>
        <v>5.4300128820789592E-2</v>
      </c>
      <c r="EQ84" s="554">
        <f t="shared" si="340"/>
        <v>5.7934823042059477E-2</v>
      </c>
      <c r="ER84" s="554">
        <f t="shared" si="340"/>
        <v>6.0798521519423644E-2</v>
      </c>
      <c r="ES84" s="554">
        <f t="shared" si="340"/>
        <v>6.4102788993305362E-2</v>
      </c>
      <c r="ET84" s="554">
        <f t="shared" si="340"/>
        <v>6.762734096544587E-2</v>
      </c>
      <c r="EU84" s="63"/>
    </row>
    <row r="85" spans="1:151" ht="16.5" thickBot="1" x14ac:dyDescent="0.3">
      <c r="A85" t="s">
        <v>1081</v>
      </c>
      <c r="B85" t="s">
        <v>2053</v>
      </c>
      <c r="C85" t="s">
        <v>2043</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2698</v>
      </c>
      <c r="AL85" s="377">
        <v>3</v>
      </c>
      <c r="AM85" s="377">
        <v>1</v>
      </c>
      <c r="AN85" s="377">
        <v>3</v>
      </c>
      <c r="AO85" s="377">
        <v>2</v>
      </c>
      <c r="AP85" s="377">
        <v>1</v>
      </c>
      <c r="AT85" s="159" t="s">
        <v>1923</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2999</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1" t="s">
        <v>1027</v>
      </c>
      <c r="ED85" s="73" t="s">
        <v>4018</v>
      </c>
      <c r="EE85" s="73">
        <v>0</v>
      </c>
      <c r="EF85" s="73">
        <v>9.1605530000000002</v>
      </c>
      <c r="EG85" s="73">
        <v>9.9656310000000001</v>
      </c>
      <c r="EH85" s="73">
        <v>10.854663</v>
      </c>
      <c r="EI85" s="73">
        <v>11.058843</v>
      </c>
      <c r="EJ85" s="73">
        <v>11.056799</v>
      </c>
      <c r="EK85" s="73">
        <v>11.055533</v>
      </c>
      <c r="EM85" s="17" t="s">
        <v>241</v>
      </c>
      <c r="EN85" s="554">
        <f t="shared" si="340"/>
        <v>4.3946757402626872E-2</v>
      </c>
      <c r="EO85" s="554">
        <f t="shared" si="340"/>
        <v>4.6480029132602858E-2</v>
      </c>
      <c r="EP85" s="554">
        <f t="shared" si="340"/>
        <v>4.9343727609967018E-2</v>
      </c>
      <c r="EQ85" s="554">
        <f t="shared" si="340"/>
        <v>5.2647995083848736E-2</v>
      </c>
      <c r="ER85" s="554">
        <f t="shared" si="340"/>
        <v>5.5291409062954107E-2</v>
      </c>
      <c r="ES85" s="554">
        <f t="shared" si="340"/>
        <v>5.8265249789447665E-2</v>
      </c>
      <c r="ET85" s="554">
        <f t="shared" si="340"/>
        <v>6.1459375014199985E-2</v>
      </c>
      <c r="EU85" s="63"/>
    </row>
    <row r="86" spans="1:151" ht="15.75" thickBot="1" x14ac:dyDescent="0.3">
      <c r="A86" t="s">
        <v>1082</v>
      </c>
      <c r="B86" t="s">
        <v>4772</v>
      </c>
      <c r="C86" t="s">
        <v>4764</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2699</v>
      </c>
      <c r="AL86" s="377">
        <v>3</v>
      </c>
      <c r="AM86" s="377">
        <v>1</v>
      </c>
      <c r="AN86" s="377">
        <v>3</v>
      </c>
      <c r="AO86" s="377">
        <v>2</v>
      </c>
      <c r="AP86" s="377">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3000</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4290</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1" t="s">
        <v>1028</v>
      </c>
      <c r="ED86" s="73" t="s">
        <v>4019</v>
      </c>
      <c r="EE86" s="73">
        <v>0</v>
      </c>
      <c r="EF86" s="73">
        <v>9.1378389999999996</v>
      </c>
      <c r="EG86" s="73">
        <v>9.7867789999999992</v>
      </c>
      <c r="EH86" s="73">
        <v>10.638639</v>
      </c>
      <c r="EI86" s="73">
        <v>10.820962</v>
      </c>
      <c r="EJ86" s="73">
        <v>10.81321</v>
      </c>
      <c r="EK86" s="73">
        <v>10.81532</v>
      </c>
      <c r="EM86" s="17" t="s">
        <v>247</v>
      </c>
      <c r="EN86" s="554">
        <f t="shared" si="340"/>
        <v>0.14318492386820783</v>
      </c>
      <c r="EO86" s="554">
        <f t="shared" si="340"/>
        <v>0.15199630379855911</v>
      </c>
      <c r="EP86" s="554">
        <f t="shared" si="340"/>
        <v>0.16190910622020424</v>
      </c>
      <c r="EQ86" s="554">
        <f t="shared" si="340"/>
        <v>0.1718219086418494</v>
      </c>
      <c r="ER86" s="554">
        <f t="shared" si="340"/>
        <v>0.18063328857220065</v>
      </c>
      <c r="ES86" s="554">
        <f t="shared" si="340"/>
        <v>0.18944466850255193</v>
      </c>
      <c r="ET86" s="554">
        <f t="shared" si="340"/>
        <v>0.19935747092419709</v>
      </c>
      <c r="EU86" s="63"/>
    </row>
    <row r="87" spans="1:151" ht="16.5" thickTop="1" thickBot="1" x14ac:dyDescent="0.3">
      <c r="A87" t="s">
        <v>1094</v>
      </c>
      <c r="B87" t="s">
        <v>2053</v>
      </c>
      <c r="C87" t="s">
        <v>2044</v>
      </c>
      <c r="D87" t="s">
        <v>95</v>
      </c>
      <c r="E87" t="s">
        <v>4050</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4072</v>
      </c>
      <c r="AL87" s="377">
        <v>3</v>
      </c>
      <c r="AM87" s="377">
        <v>1</v>
      </c>
      <c r="AN87" s="377">
        <v>1</v>
      </c>
      <c r="AO87" s="377">
        <v>3</v>
      </c>
      <c r="AP87" s="377">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9">
        <f t="shared" ref="BP87:BP95" si="343">AVERAGE(BJ87:BN87)</f>
        <v>1.5853999866418103</v>
      </c>
      <c r="BW87" t="s">
        <v>3039</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4796</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8" t="s">
        <v>567</v>
      </c>
      <c r="ED87" s="399" t="s">
        <v>4018</v>
      </c>
      <c r="EE87" s="399">
        <v>0</v>
      </c>
      <c r="EF87" s="399">
        <v>7.1107129999999996</v>
      </c>
      <c r="EG87" s="399">
        <v>7.1098470000000002</v>
      </c>
      <c r="EH87" s="399">
        <v>7.1098749999999997</v>
      </c>
      <c r="EI87" s="399">
        <v>7.1111890000000004</v>
      </c>
      <c r="EJ87" s="399">
        <v>7.1126670000000001</v>
      </c>
      <c r="EK87" s="399">
        <v>7.1141290000000001</v>
      </c>
      <c r="EL87" s="68"/>
      <c r="EM87" s="819" t="s">
        <v>567</v>
      </c>
      <c r="EN87" s="567">
        <f t="shared" si="340"/>
        <v>8.9545648542194614E-2</v>
      </c>
      <c r="EO87" s="567">
        <f t="shared" si="340"/>
        <v>9.6044041240828645E-2</v>
      </c>
      <c r="EP87" s="567">
        <f t="shared" si="340"/>
        <v>0.10353371418162721</v>
      </c>
      <c r="EQ87" s="567">
        <f t="shared" si="340"/>
        <v>0.11234509411197847</v>
      </c>
      <c r="ER87" s="567">
        <f t="shared" si="340"/>
        <v>0.11895362905974192</v>
      </c>
      <c r="ES87" s="567">
        <f t="shared" si="340"/>
        <v>0.12666358649879925</v>
      </c>
      <c r="ET87" s="567">
        <f t="shared" si="340"/>
        <v>0.13547496642915052</v>
      </c>
      <c r="EU87" s="296"/>
    </row>
    <row r="88" spans="1:151" x14ac:dyDescent="0.25">
      <c r="A88" t="s">
        <v>1095</v>
      </c>
      <c r="B88" t="s">
        <v>2054</v>
      </c>
      <c r="C88" t="s">
        <v>2044</v>
      </c>
      <c r="D88" t="s">
        <v>95</v>
      </c>
      <c r="E88" t="s">
        <v>4050</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4070</v>
      </c>
      <c r="AL88" s="377">
        <v>3</v>
      </c>
      <c r="AM88" s="377">
        <v>1</v>
      </c>
      <c r="AN88" s="377">
        <v>1</v>
      </c>
      <c r="AO88" s="377">
        <v>3</v>
      </c>
      <c r="AP88" s="377">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9">
        <f t="shared" si="343"/>
        <v>1.7114999719295452</v>
      </c>
      <c r="BW88" t="s">
        <v>3040</v>
      </c>
      <c r="BX88">
        <v>14.362825909467675</v>
      </c>
      <c r="BY88">
        <v>15.457594200307893</v>
      </c>
      <c r="BZ88">
        <v>14.634968753267426</v>
      </c>
      <c r="CA88">
        <v>14.318457640756421</v>
      </c>
      <c r="CB88">
        <v>13.832812931603712</v>
      </c>
      <c r="CC88">
        <v>13.332120139619072</v>
      </c>
      <c r="CD88">
        <v>12.866407383472113</v>
      </c>
      <c r="CE88">
        <v>12.432132661526099</v>
      </c>
      <c r="CG88" t="s">
        <v>1080</v>
      </c>
      <c r="CQ88" t="s">
        <v>4291</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2055</v>
      </c>
      <c r="C89" t="s">
        <v>2044</v>
      </c>
      <c r="D89" t="s">
        <v>95</v>
      </c>
      <c r="E89" t="s">
        <v>4050</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4073</v>
      </c>
      <c r="AL89" s="377">
        <v>3</v>
      </c>
      <c r="AM89" s="377">
        <v>1</v>
      </c>
      <c r="AN89" s="377">
        <v>1</v>
      </c>
      <c r="AO89" s="377">
        <v>3</v>
      </c>
      <c r="AP89" s="377">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9">
        <f t="shared" si="343"/>
        <v>0.55666669952667147</v>
      </c>
      <c r="BW89" t="s">
        <v>3041</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4797</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2054</v>
      </c>
      <c r="C90" t="s">
        <v>2044</v>
      </c>
      <c r="D90" t="s">
        <v>95</v>
      </c>
      <c r="E90" t="s">
        <v>4050</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4070</v>
      </c>
      <c r="AL90" s="377">
        <v>3</v>
      </c>
      <c r="AM90" s="377">
        <v>1</v>
      </c>
      <c r="AN90" s="377">
        <v>1</v>
      </c>
      <c r="AO90" s="377">
        <v>3</v>
      </c>
      <c r="AP90" s="377">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9">
        <f t="shared" si="343"/>
        <v>1.2600000004431158</v>
      </c>
      <c r="BW90" t="s">
        <v>3042</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4292</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4038</v>
      </c>
      <c r="C91" t="s">
        <v>2044</v>
      </c>
      <c r="D91" t="s">
        <v>95</v>
      </c>
      <c r="E91" t="s">
        <v>4050</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4070</v>
      </c>
      <c r="AL91" s="377">
        <v>3</v>
      </c>
      <c r="AM91" s="377">
        <v>1</v>
      </c>
      <c r="AN91" s="377">
        <v>1</v>
      </c>
      <c r="AO91" s="377">
        <v>3</v>
      </c>
      <c r="AP91" s="377">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9">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4798</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2063</v>
      </c>
      <c r="C92" t="s">
        <v>2044</v>
      </c>
      <c r="D92" t="s">
        <v>95</v>
      </c>
      <c r="E92" t="s">
        <v>4050</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4070</v>
      </c>
      <c r="AL92" s="377">
        <v>3</v>
      </c>
      <c r="AM92" s="377">
        <v>1</v>
      </c>
      <c r="AN92" s="377">
        <v>1</v>
      </c>
      <c r="AO92" s="377">
        <v>3</v>
      </c>
      <c r="AP92" s="377">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9">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2066</v>
      </c>
      <c r="C93" t="s">
        <v>2044</v>
      </c>
      <c r="D93" t="s">
        <v>95</v>
      </c>
      <c r="E93" t="s">
        <v>4050</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4070</v>
      </c>
      <c r="AL93" s="377">
        <v>3</v>
      </c>
      <c r="AM93" s="377">
        <v>1</v>
      </c>
      <c r="AN93" s="377">
        <v>1</v>
      </c>
      <c r="AO93" s="377">
        <v>3</v>
      </c>
      <c r="AP93" s="377">
        <v>1</v>
      </c>
      <c r="AT93" t="s">
        <v>1920</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9">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2066</v>
      </c>
      <c r="C94" t="s">
        <v>2044</v>
      </c>
      <c r="D94" t="s">
        <v>95</v>
      </c>
      <c r="E94" t="s">
        <v>4050</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4070</v>
      </c>
      <c r="AL94" s="377">
        <v>3</v>
      </c>
      <c r="AM94" s="377">
        <v>1</v>
      </c>
      <c r="AN94" s="377">
        <v>1</v>
      </c>
      <c r="AO94" s="377">
        <v>3</v>
      </c>
      <c r="AP94" s="377">
        <v>1</v>
      </c>
      <c r="AT94" t="s">
        <v>1921</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9">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2053</v>
      </c>
      <c r="C95" t="s">
        <v>2045</v>
      </c>
      <c r="D95" t="s">
        <v>95</v>
      </c>
      <c r="E95" t="s">
        <v>4050</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4074</v>
      </c>
      <c r="AL95" s="377">
        <v>3</v>
      </c>
      <c r="AM95" s="377">
        <v>1</v>
      </c>
      <c r="AN95" s="377">
        <v>1</v>
      </c>
      <c r="AO95" s="377">
        <v>3</v>
      </c>
      <c r="AP95" s="377">
        <v>2</v>
      </c>
      <c r="AT95" t="s">
        <v>1922</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0">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2054</v>
      </c>
      <c r="C96" t="s">
        <v>2045</v>
      </c>
      <c r="D96" t="s">
        <v>95</v>
      </c>
      <c r="E96" t="s">
        <v>4050</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4071</v>
      </c>
      <c r="AL96" s="377">
        <v>3</v>
      </c>
      <c r="AM96" s="377">
        <v>1</v>
      </c>
      <c r="AN96" s="377">
        <v>1</v>
      </c>
      <c r="AO96" s="377">
        <v>3</v>
      </c>
      <c r="AP96" s="377">
        <v>1</v>
      </c>
      <c r="AT96" s="61" t="s">
        <v>1924</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2055</v>
      </c>
      <c r="C97" t="s">
        <v>2045</v>
      </c>
      <c r="D97" t="s">
        <v>95</v>
      </c>
      <c r="E97" t="s">
        <v>4050</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4075</v>
      </c>
      <c r="AL97" s="377">
        <v>3</v>
      </c>
      <c r="AM97" s="377">
        <v>1</v>
      </c>
      <c r="AN97" s="377">
        <v>1</v>
      </c>
      <c r="AO97" s="377">
        <v>3</v>
      </c>
      <c r="AP97" s="377">
        <v>2</v>
      </c>
      <c r="BS97" t="s">
        <v>258</v>
      </c>
      <c r="BT97" t="s">
        <v>609</v>
      </c>
      <c r="BW97" t="s">
        <v>3001</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2054</v>
      </c>
      <c r="C98" t="s">
        <v>2045</v>
      </c>
      <c r="D98" t="s">
        <v>95</v>
      </c>
      <c r="E98" t="s">
        <v>4050</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4071</v>
      </c>
      <c r="AL98" s="377">
        <v>3</v>
      </c>
      <c r="AM98" s="377">
        <v>1</v>
      </c>
      <c r="AN98" s="377">
        <v>1</v>
      </c>
      <c r="AO98" s="377">
        <v>3</v>
      </c>
      <c r="AP98" s="377">
        <v>1</v>
      </c>
      <c r="BS98" t="s">
        <v>527</v>
      </c>
      <c r="BT98">
        <v>1.5853999866418103</v>
      </c>
      <c r="BW98" t="s">
        <v>2999</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4038</v>
      </c>
      <c r="C99" t="s">
        <v>2045</v>
      </c>
      <c r="D99" t="s">
        <v>95</v>
      </c>
      <c r="E99" t="s">
        <v>4050</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4071</v>
      </c>
      <c r="AL99" s="377">
        <v>3</v>
      </c>
      <c r="AM99" s="377">
        <v>1</v>
      </c>
      <c r="AN99" s="377">
        <v>1</v>
      </c>
      <c r="AO99" s="377">
        <v>3</v>
      </c>
      <c r="AP99" s="377">
        <v>1</v>
      </c>
      <c r="AZ99" s="28"/>
      <c r="BA99" s="28"/>
      <c r="BB99" s="28"/>
      <c r="BC99" s="28"/>
      <c r="BD99" s="28"/>
      <c r="BE99" s="28"/>
      <c r="BF99" s="28"/>
      <c r="BG99" s="28"/>
      <c r="BH99" s="28"/>
      <c r="BI99" s="28"/>
      <c r="BS99" t="s">
        <v>570</v>
      </c>
      <c r="BT99">
        <v>1.7114999719295452</v>
      </c>
      <c r="BW99" t="s">
        <v>3000</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2063</v>
      </c>
      <c r="C100" t="s">
        <v>2045</v>
      </c>
      <c r="D100" t="s">
        <v>95</v>
      </c>
      <c r="E100" t="s">
        <v>4050</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4071</v>
      </c>
      <c r="AL100" s="377">
        <v>3</v>
      </c>
      <c r="AM100" s="377">
        <v>1</v>
      </c>
      <c r="AN100" s="377">
        <v>1</v>
      </c>
      <c r="AO100" s="377">
        <v>3</v>
      </c>
      <c r="AP100" s="377">
        <v>1</v>
      </c>
      <c r="AT100" s="347" t="s">
        <v>1062</v>
      </c>
      <c r="AU100" s="347"/>
      <c r="AV100" s="347"/>
      <c r="AW100" s="347"/>
      <c r="AX100" s="347"/>
      <c r="AY100" s="347"/>
      <c r="AZ100" s="347"/>
      <c r="BA100" s="347"/>
      <c r="BB100" s="347"/>
      <c r="BC100" s="798"/>
      <c r="BD100" s="59"/>
      <c r="BE100" s="59"/>
      <c r="BF100" s="59"/>
      <c r="BG100" s="59"/>
      <c r="BH100" s="59"/>
      <c r="BI100" s="59"/>
      <c r="BJ100" s="59"/>
      <c r="BN100" s="59"/>
      <c r="BS100" t="s">
        <v>571</v>
      </c>
      <c r="BT100">
        <v>0.55666669952667147</v>
      </c>
      <c r="BW100" t="s">
        <v>3039</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2066</v>
      </c>
      <c r="C101" t="s">
        <v>2045</v>
      </c>
      <c r="D101" t="s">
        <v>95</v>
      </c>
      <c r="E101" t="s">
        <v>4050</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4071</v>
      </c>
      <c r="AL101" s="377">
        <v>3</v>
      </c>
      <c r="AM101" s="377">
        <v>1</v>
      </c>
      <c r="AN101" s="377">
        <v>1</v>
      </c>
      <c r="AO101" s="377">
        <v>3</v>
      </c>
      <c r="AP101" s="377">
        <v>1</v>
      </c>
      <c r="AT101" s="351" t="s">
        <v>1056</v>
      </c>
      <c r="AU101" s="352" t="s">
        <v>517</v>
      </c>
      <c r="AV101" s="352" t="s">
        <v>518</v>
      </c>
      <c r="AW101" s="352">
        <v>2018</v>
      </c>
      <c r="AX101" s="352">
        <v>2020</v>
      </c>
      <c r="AY101" s="352">
        <v>2023</v>
      </c>
      <c r="AZ101" s="59"/>
      <c r="BA101" s="351" t="s">
        <v>1061</v>
      </c>
      <c r="BB101" s="353"/>
      <c r="BD101" s="59"/>
      <c r="BE101" s="59"/>
      <c r="BF101" s="59"/>
      <c r="BG101" s="59"/>
      <c r="BH101" s="59"/>
      <c r="BI101" s="59"/>
      <c r="BJ101" s="59"/>
      <c r="BK101" s="59"/>
      <c r="BL101" s="59"/>
      <c r="BM101" s="59"/>
      <c r="BN101" s="59"/>
      <c r="BS101" t="s">
        <v>573</v>
      </c>
      <c r="BT101">
        <v>1.2600000004431158</v>
      </c>
      <c r="BW101" t="s">
        <v>3040</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2066</v>
      </c>
      <c r="C102" t="s">
        <v>2045</v>
      </c>
      <c r="D102" t="s">
        <v>95</v>
      </c>
      <c r="E102" t="s">
        <v>4050</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4071</v>
      </c>
      <c r="AL102" s="377">
        <v>3</v>
      </c>
      <c r="AM102" s="377">
        <v>1</v>
      </c>
      <c r="AN102" s="377">
        <v>1</v>
      </c>
      <c r="AO102" s="377">
        <v>3</v>
      </c>
      <c r="AP102" s="377">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3041</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2053</v>
      </c>
      <c r="C103" t="s">
        <v>2046</v>
      </c>
      <c r="D103" t="s">
        <v>95</v>
      </c>
      <c r="E103" t="s">
        <v>4055</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4076</v>
      </c>
      <c r="AL103" s="377">
        <v>3</v>
      </c>
      <c r="AM103" s="377">
        <v>1</v>
      </c>
      <c r="AN103" s="377">
        <v>1</v>
      </c>
      <c r="AO103" s="377">
        <v>3</v>
      </c>
      <c r="AP103" s="377">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3042</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2054</v>
      </c>
      <c r="C104" t="s">
        <v>2046</v>
      </c>
      <c r="D104" t="s">
        <v>95</v>
      </c>
      <c r="E104" t="s">
        <v>4055</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4077</v>
      </c>
      <c r="AL104" s="377">
        <v>3</v>
      </c>
      <c r="AM104" s="377">
        <v>1</v>
      </c>
      <c r="AN104" s="377">
        <v>1</v>
      </c>
      <c r="AO104" s="377">
        <v>3</v>
      </c>
      <c r="AP104" s="377">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1920</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2054</v>
      </c>
      <c r="C105" t="s">
        <v>2046</v>
      </c>
      <c r="D105" t="s">
        <v>95</v>
      </c>
      <c r="E105" t="s">
        <v>4055</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4078</v>
      </c>
      <c r="AL105" s="377">
        <v>3</v>
      </c>
      <c r="AM105" s="377">
        <v>1</v>
      </c>
      <c r="AN105" s="377">
        <v>1</v>
      </c>
      <c r="AO105" s="377">
        <v>3</v>
      </c>
      <c r="AP105" s="377">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1921</v>
      </c>
      <c r="BT105">
        <v>12.389999999829481</v>
      </c>
    </row>
    <row r="106" spans="1:92" x14ac:dyDescent="0.25">
      <c r="A106" t="s">
        <v>1113</v>
      </c>
      <c r="B106" t="s">
        <v>2063</v>
      </c>
      <c r="C106" t="s">
        <v>2046</v>
      </c>
      <c r="D106" t="s">
        <v>95</v>
      </c>
      <c r="E106" t="s">
        <v>4055</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4077</v>
      </c>
      <c r="AL106" s="377">
        <v>3</v>
      </c>
      <c r="AM106" s="377">
        <v>1</v>
      </c>
      <c r="AN106" s="377">
        <v>1</v>
      </c>
      <c r="AO106" s="377">
        <v>3</v>
      </c>
      <c r="AP106" s="377">
        <v>1</v>
      </c>
      <c r="BD106" s="80"/>
      <c r="BE106" s="80"/>
      <c r="BF106" s="80"/>
      <c r="BG106" s="80"/>
      <c r="BH106" s="80"/>
      <c r="BI106" s="80"/>
      <c r="BS106" t="s">
        <v>1922</v>
      </c>
      <c r="BT106">
        <v>16.880000000394908</v>
      </c>
      <c r="BW106" s="28" t="s">
        <v>4304</v>
      </c>
    </row>
    <row r="107" spans="1:92" x14ac:dyDescent="0.25">
      <c r="A107" t="s">
        <v>1114</v>
      </c>
      <c r="B107" t="s">
        <v>2066</v>
      </c>
      <c r="C107" t="s">
        <v>2046</v>
      </c>
      <c r="D107" t="s">
        <v>95</v>
      </c>
      <c r="E107" t="s">
        <v>4055</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4077</v>
      </c>
      <c r="AL107" s="377">
        <v>3</v>
      </c>
      <c r="AM107" s="377">
        <v>1</v>
      </c>
      <c r="AN107" s="377">
        <v>1</v>
      </c>
      <c r="AO107" s="377">
        <v>3</v>
      </c>
      <c r="AP107" s="377">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2056</v>
      </c>
      <c r="C108" t="s">
        <v>2047</v>
      </c>
      <c r="D108" t="s">
        <v>95</v>
      </c>
      <c r="E108" t="s">
        <v>2126</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4244</v>
      </c>
      <c r="AL108" s="377">
        <v>3</v>
      </c>
      <c r="AM108" s="377">
        <v>1</v>
      </c>
      <c r="AN108" s="377">
        <v>1</v>
      </c>
      <c r="AO108" s="377">
        <v>3</v>
      </c>
      <c r="AP108" s="377">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4006</v>
      </c>
    </row>
    <row r="109" spans="1:92" x14ac:dyDescent="0.25">
      <c r="A109" t="s">
        <v>1119</v>
      </c>
      <c r="B109" t="s">
        <v>2057</v>
      </c>
      <c r="C109" t="s">
        <v>2047</v>
      </c>
      <c r="D109" t="s">
        <v>95</v>
      </c>
      <c r="E109" t="s">
        <v>2126</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4244</v>
      </c>
      <c r="AL109" s="377">
        <v>3</v>
      </c>
      <c r="AM109" s="377">
        <v>1</v>
      </c>
      <c r="AN109" s="377">
        <v>1</v>
      </c>
      <c r="AO109" s="377">
        <v>3</v>
      </c>
      <c r="AP109" s="377">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2056</v>
      </c>
      <c r="C110" t="s">
        <v>2048</v>
      </c>
      <c r="D110" t="s">
        <v>95</v>
      </c>
      <c r="E110" t="s">
        <v>2126</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4245</v>
      </c>
      <c r="AL110" s="377">
        <v>3</v>
      </c>
      <c r="AM110" s="377">
        <v>1</v>
      </c>
      <c r="AN110" s="377">
        <v>1</v>
      </c>
      <c r="AO110" s="377">
        <v>3</v>
      </c>
      <c r="AP110" s="377">
        <v>1</v>
      </c>
      <c r="BW110" t="s">
        <v>887</v>
      </c>
      <c r="BX110">
        <v>4.2543856472018815</v>
      </c>
      <c r="BY110">
        <v>4.133961165906741</v>
      </c>
      <c r="BZ110">
        <v>4.0358497698695013</v>
      </c>
      <c r="CA110">
        <v>4.0472359885532265</v>
      </c>
      <c r="CB110">
        <v>4.0457617352311122</v>
      </c>
      <c r="CC110">
        <v>4.0719223665384598</v>
      </c>
      <c r="CD110">
        <v>4.0916099514723321</v>
      </c>
      <c r="CG110" t="s">
        <v>4007</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2057</v>
      </c>
      <c r="C111" t="s">
        <v>2048</v>
      </c>
      <c r="D111" t="s">
        <v>95</v>
      </c>
      <c r="E111" t="s">
        <v>2126</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4245</v>
      </c>
      <c r="AL111" s="377">
        <v>3</v>
      </c>
      <c r="AM111" s="377">
        <v>1</v>
      </c>
      <c r="AN111" s="377">
        <v>1</v>
      </c>
      <c r="AO111" s="377">
        <v>3</v>
      </c>
      <c r="AP111" s="377">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2054</v>
      </c>
      <c r="C112" t="s">
        <v>2049</v>
      </c>
      <c r="D112" t="s">
        <v>95</v>
      </c>
      <c r="E112" t="s">
        <v>2126</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7">
        <v>3</v>
      </c>
      <c r="AM112" s="377">
        <v>1</v>
      </c>
      <c r="AN112" s="377">
        <v>1</v>
      </c>
      <c r="AO112" s="377">
        <v>3</v>
      </c>
      <c r="AP112" s="377">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3001</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2066</v>
      </c>
      <c r="C113" t="s">
        <v>2049</v>
      </c>
      <c r="D113" t="s">
        <v>95</v>
      </c>
      <c r="E113" t="s">
        <v>2126</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7">
        <v>3</v>
      </c>
      <c r="AM113" s="377">
        <v>1</v>
      </c>
      <c r="AN113" s="377">
        <v>1</v>
      </c>
      <c r="AO113" s="377">
        <v>3</v>
      </c>
      <c r="AP113" s="377">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2999</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2054</v>
      </c>
      <c r="C114" t="s">
        <v>2050</v>
      </c>
      <c r="D114" t="s">
        <v>95</v>
      </c>
      <c r="E114" t="s">
        <v>2126</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7">
        <v>3</v>
      </c>
      <c r="AM114" s="377">
        <v>1</v>
      </c>
      <c r="AN114" s="377">
        <v>1</v>
      </c>
      <c r="AO114" s="377">
        <v>3</v>
      </c>
      <c r="AP114" s="377">
        <v>1</v>
      </c>
      <c r="BW114" t="s">
        <v>3000</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2066</v>
      </c>
      <c r="C115" t="s">
        <v>2050</v>
      </c>
      <c r="D115" t="s">
        <v>95</v>
      </c>
      <c r="E115" t="s">
        <v>2126</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7">
        <v>3</v>
      </c>
      <c r="AM115" s="377">
        <v>1</v>
      </c>
      <c r="AN115" s="377">
        <v>1</v>
      </c>
      <c r="AO115" s="377">
        <v>3</v>
      </c>
      <c r="AP115" s="377">
        <v>1</v>
      </c>
      <c r="BW115" t="s">
        <v>3039</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2060</v>
      </c>
      <c r="C116" t="s">
        <v>2050</v>
      </c>
      <c r="D116" t="s">
        <v>95</v>
      </c>
      <c r="E116" t="s">
        <v>2126</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7">
        <v>3</v>
      </c>
      <c r="AM116" s="377">
        <v>1</v>
      </c>
      <c r="AN116" s="377">
        <v>1</v>
      </c>
      <c r="AO116" s="377">
        <v>3</v>
      </c>
      <c r="AP116" s="377">
        <v>1</v>
      </c>
      <c r="BW116" t="s">
        <v>3040</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2058</v>
      </c>
      <c r="C117" t="s">
        <v>2051</v>
      </c>
      <c r="D117" t="s">
        <v>95</v>
      </c>
      <c r="E117" t="s">
        <v>2126</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7">
        <v>3</v>
      </c>
      <c r="AM117" s="377">
        <v>1</v>
      </c>
      <c r="AN117" s="377">
        <v>1</v>
      </c>
      <c r="AO117" s="377">
        <v>2</v>
      </c>
      <c r="AP117" s="377">
        <v>1</v>
      </c>
      <c r="BW117" t="s">
        <v>3041</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2059</v>
      </c>
      <c r="C118" t="s">
        <v>2051</v>
      </c>
      <c r="D118" t="s">
        <v>95</v>
      </c>
      <c r="E118" t="s">
        <v>2126</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7">
        <v>3</v>
      </c>
      <c r="AM118" s="377">
        <v>1</v>
      </c>
      <c r="AN118" s="377">
        <v>1</v>
      </c>
      <c r="AO118" s="377">
        <v>2</v>
      </c>
      <c r="AP118" s="377">
        <v>1</v>
      </c>
      <c r="BS118" s="85"/>
    </row>
    <row r="119" spans="1:92" x14ac:dyDescent="0.25">
      <c r="A119" t="s">
        <v>1295</v>
      </c>
      <c r="B119" t="s">
        <v>2060</v>
      </c>
      <c r="C119" t="s">
        <v>2051</v>
      </c>
      <c r="D119" t="s">
        <v>95</v>
      </c>
      <c r="E119" t="s">
        <v>2126</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7">
        <v>3</v>
      </c>
      <c r="AM119" s="377">
        <v>1</v>
      </c>
      <c r="AN119" s="377">
        <v>1</v>
      </c>
      <c r="AO119" s="377">
        <v>2</v>
      </c>
      <c r="AP119" s="377">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2054</v>
      </c>
      <c r="C120" t="s">
        <v>2052</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4768</v>
      </c>
      <c r="B121" t="s">
        <v>2951</v>
      </c>
      <c r="C121" t="s">
        <v>4772</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7">
        <v>3</v>
      </c>
      <c r="AM121" s="377">
        <v>1</v>
      </c>
      <c r="AN121" s="377">
        <v>1</v>
      </c>
      <c r="AO121" s="377">
        <v>3</v>
      </c>
      <c r="AP121" s="377">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4769</v>
      </c>
      <c r="B122" t="s">
        <v>2951</v>
      </c>
      <c r="C122" t="s">
        <v>4773</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7">
        <v>3</v>
      </c>
      <c r="AM122" s="377">
        <v>1</v>
      </c>
      <c r="AN122" s="377">
        <v>1</v>
      </c>
      <c r="AO122" s="377">
        <v>3</v>
      </c>
      <c r="AP122" s="377">
        <v>1</v>
      </c>
      <c r="BC122" s="28"/>
      <c r="BD122" s="28"/>
      <c r="BE122" s="28"/>
      <c r="BF122" s="28"/>
      <c r="BG122" s="28"/>
      <c r="BH122" s="28"/>
      <c r="BI122" s="28"/>
      <c r="BS122" s="85"/>
    </row>
    <row r="123" spans="1:92" x14ac:dyDescent="0.25">
      <c r="A123" t="s">
        <v>1825</v>
      </c>
      <c r="B123" t="s">
        <v>2951</v>
      </c>
      <c r="C123" t="s">
        <v>2062</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7">
        <v>3</v>
      </c>
      <c r="AM123" s="377">
        <v>1</v>
      </c>
      <c r="AN123" s="377">
        <v>1</v>
      </c>
      <c r="AO123" s="377">
        <v>3</v>
      </c>
      <c r="AP123" s="377">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2951</v>
      </c>
      <c r="C124" t="s">
        <v>2063</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7">
        <v>3</v>
      </c>
      <c r="AM124" s="377">
        <v>1</v>
      </c>
      <c r="AN124" s="377">
        <v>1</v>
      </c>
      <c r="AO124" s="377">
        <v>3</v>
      </c>
      <c r="AP124" s="377">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2882</v>
      </c>
      <c r="B125" t="s">
        <v>4080</v>
      </c>
      <c r="C125" t="s">
        <v>2032</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4793</v>
      </c>
      <c r="AL125" s="377">
        <v>3</v>
      </c>
      <c r="AM125" s="377">
        <v>1</v>
      </c>
      <c r="AN125" s="377">
        <v>1</v>
      </c>
      <c r="AO125" s="377">
        <v>3</v>
      </c>
      <c r="AP125" s="377">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2882</v>
      </c>
      <c r="B126" t="s">
        <v>2891</v>
      </c>
      <c r="C126" t="s">
        <v>2032</v>
      </c>
      <c r="D126" t="s">
        <v>95</v>
      </c>
      <c r="E126" t="s">
        <v>1644</v>
      </c>
      <c r="F126">
        <v>2022</v>
      </c>
      <c r="G126" s="52" t="s">
        <v>1769</v>
      </c>
      <c r="AC126" s="245">
        <v>0.5</v>
      </c>
      <c r="AD126" s="59">
        <v>0.5</v>
      </c>
      <c r="AE126" s="59">
        <v>0.5</v>
      </c>
      <c r="AF126" s="59">
        <v>0.5</v>
      </c>
      <c r="AG126" s="59">
        <v>0.5</v>
      </c>
      <c r="AH126" s="59">
        <v>0.5</v>
      </c>
      <c r="AI126" s="59">
        <v>0.5</v>
      </c>
      <c r="AK126" s="54" t="s">
        <v>1902</v>
      </c>
      <c r="AL126" s="377">
        <v>3</v>
      </c>
      <c r="AM126" s="377">
        <v>1</v>
      </c>
      <c r="AN126" s="377">
        <v>1</v>
      </c>
      <c r="AO126" s="377">
        <v>3</v>
      </c>
      <c r="AP126" s="377">
        <v>1</v>
      </c>
      <c r="BC126" s="28"/>
      <c r="BD126" s="28"/>
      <c r="BE126" s="28"/>
      <c r="BF126" s="28"/>
      <c r="BG126" s="28"/>
      <c r="BH126" s="28"/>
      <c r="BI126" s="28"/>
      <c r="BS126" s="85"/>
      <c r="BW126" t="s">
        <v>3001</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4080</v>
      </c>
      <c r="C127" t="s">
        <v>2033</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7"/>
      <c r="AK127" s="54" t="s">
        <v>4794</v>
      </c>
      <c r="AL127" s="377">
        <v>3</v>
      </c>
      <c r="AM127" s="377">
        <v>1</v>
      </c>
      <c r="AN127" s="377">
        <v>1</v>
      </c>
      <c r="AO127" s="377">
        <v>3</v>
      </c>
      <c r="AP127" s="377">
        <v>1</v>
      </c>
      <c r="BC127" s="80"/>
      <c r="BD127" s="80"/>
      <c r="BE127" s="80"/>
      <c r="BF127" s="80"/>
      <c r="BG127" s="80"/>
      <c r="BH127" s="80"/>
      <c r="BI127" s="80"/>
      <c r="BS127" s="85"/>
      <c r="BW127" t="s">
        <v>2999</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2032</v>
      </c>
      <c r="C128" t="s">
        <v>2033</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1902</v>
      </c>
      <c r="AL128" s="377">
        <v>3</v>
      </c>
      <c r="AM128" s="377">
        <v>1</v>
      </c>
      <c r="AN128" s="377">
        <v>1</v>
      </c>
      <c r="AO128" s="377">
        <v>3</v>
      </c>
      <c r="AP128" s="377">
        <v>1</v>
      </c>
      <c r="BW128" t="s">
        <v>3000</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2033</v>
      </c>
      <c r="C129" t="s">
        <v>2064</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4636</v>
      </c>
      <c r="AL129" s="377">
        <v>3</v>
      </c>
      <c r="AM129" s="377">
        <v>1</v>
      </c>
      <c r="AN129" s="377">
        <v>1</v>
      </c>
      <c r="AO129" s="377">
        <v>3</v>
      </c>
      <c r="AP129" s="377">
        <v>1</v>
      </c>
      <c r="BW129" t="s">
        <v>3039</v>
      </c>
      <c r="BX129" t="e">
        <v>#DIV/0!</v>
      </c>
      <c r="BY129" t="e">
        <v>#DIV/0!</v>
      </c>
      <c r="BZ129" t="e">
        <v>#DIV/0!</v>
      </c>
      <c r="CA129" t="e">
        <v>#DIV/0!</v>
      </c>
      <c r="CB129" t="e">
        <v>#DIV/0!</v>
      </c>
      <c r="CC129" t="e">
        <v>#DIV/0!</v>
      </c>
      <c r="CD129" t="e">
        <v>#DIV/0!</v>
      </c>
    </row>
    <row r="130" spans="1:82" x14ac:dyDescent="0.25">
      <c r="A130" t="s">
        <v>1871</v>
      </c>
      <c r="B130" t="s">
        <v>2033</v>
      </c>
      <c r="C130" t="s">
        <v>2065</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4636</v>
      </c>
      <c r="AL130" s="377">
        <v>3</v>
      </c>
      <c r="AM130" s="377">
        <v>1</v>
      </c>
      <c r="AN130" s="377">
        <v>1</v>
      </c>
      <c r="AO130" s="377">
        <v>3</v>
      </c>
      <c r="AP130" s="377">
        <v>1</v>
      </c>
      <c r="BW130" t="s">
        <v>3040</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2033</v>
      </c>
      <c r="C131" t="s">
        <v>2066</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4636</v>
      </c>
      <c r="AL131" s="377">
        <v>3</v>
      </c>
      <c r="AM131" s="377">
        <v>1</v>
      </c>
      <c r="AN131" s="377">
        <v>1</v>
      </c>
      <c r="AO131" s="377">
        <v>3</v>
      </c>
      <c r="AP131" s="377">
        <v>1</v>
      </c>
      <c r="AU131" s="28" t="s">
        <v>130</v>
      </c>
      <c r="AV131" s="28">
        <v>2010</v>
      </c>
      <c r="AW131" s="28">
        <v>2015</v>
      </c>
      <c r="AX131" s="28">
        <v>2020</v>
      </c>
      <c r="AY131" s="28">
        <v>2021</v>
      </c>
      <c r="AZ131" s="28">
        <v>2025</v>
      </c>
      <c r="BA131" s="28">
        <v>2030</v>
      </c>
      <c r="BB131" s="28">
        <v>2035</v>
      </c>
      <c r="BC131" s="28">
        <v>2040</v>
      </c>
      <c r="BD131" s="28">
        <v>2045</v>
      </c>
      <c r="BE131" s="28">
        <v>2050</v>
      </c>
      <c r="BW131" t="s">
        <v>3041</v>
      </c>
      <c r="BX131">
        <v>23.269903680120095</v>
      </c>
      <c r="BY131">
        <v>22.7577561896742</v>
      </c>
      <c r="BZ131">
        <v>22.412726707471137</v>
      </c>
      <c r="CA131">
        <v>22.383997995583965</v>
      </c>
      <c r="CB131">
        <v>22.369280221664788</v>
      </c>
      <c r="CC131">
        <v>22.363307888428512</v>
      </c>
      <c r="CD131">
        <v>22.359641707112708</v>
      </c>
    </row>
    <row r="132" spans="1:82" x14ac:dyDescent="0.25">
      <c r="A132" t="s">
        <v>1824</v>
      </c>
      <c r="B132" t="s">
        <v>2028</v>
      </c>
      <c r="C132" t="s">
        <v>2053</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7"/>
      <c r="AK132" s="54" t="s">
        <v>1901</v>
      </c>
      <c r="AT132" t="s">
        <v>1004</v>
      </c>
      <c r="AU132" t="s">
        <v>1973</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1824</v>
      </c>
      <c r="B133" t="s">
        <v>2027</v>
      </c>
      <c r="C133" t="s">
        <v>2053</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7"/>
      <c r="AK133" s="54" t="s">
        <v>1901</v>
      </c>
      <c r="AT133" t="s">
        <v>1007</v>
      </c>
      <c r="AU133" t="s">
        <v>1974</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2948</v>
      </c>
      <c r="B134" t="s">
        <v>2083</v>
      </c>
      <c r="C134" t="s">
        <v>2054</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7"/>
      <c r="AK134" s="54" t="s">
        <v>1901</v>
      </c>
      <c r="AT134" t="s">
        <v>1008</v>
      </c>
      <c r="AU134" t="s">
        <v>1972</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2948</v>
      </c>
      <c r="B135" t="s">
        <v>2029</v>
      </c>
      <c r="C135" t="s">
        <v>2054</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1901</v>
      </c>
      <c r="AT135" t="s">
        <v>1010</v>
      </c>
      <c r="AU135" t="s">
        <v>1975</v>
      </c>
      <c r="AY135">
        <v>1.2975963543359581</v>
      </c>
      <c r="AZ135">
        <v>1.3352343552706327</v>
      </c>
      <c r="BA135">
        <v>1.3635929223520937</v>
      </c>
      <c r="BB135">
        <v>1.4567678363313867</v>
      </c>
      <c r="BC135">
        <v>1.4936523980872969</v>
      </c>
      <c r="BD135">
        <v>1.530536959843207</v>
      </c>
      <c r="BE135">
        <v>1.5674215215991172</v>
      </c>
    </row>
    <row r="136" spans="1:82" x14ac:dyDescent="0.25">
      <c r="A136" t="s">
        <v>1893</v>
      </c>
      <c r="B136" t="s">
        <v>2054</v>
      </c>
      <c r="C136" t="s">
        <v>4040</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1901</v>
      </c>
      <c r="AT136" t="s">
        <v>1011</v>
      </c>
      <c r="AU136" t="s">
        <v>1971</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1893</v>
      </c>
      <c r="B137" t="s">
        <v>2062</v>
      </c>
      <c r="C137" t="s">
        <v>4040</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1901</v>
      </c>
      <c r="AT137" t="s">
        <v>1013</v>
      </c>
      <c r="AU137" t="s">
        <v>1970</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4293</v>
      </c>
      <c r="BY137" t="s">
        <v>4294</v>
      </c>
    </row>
    <row r="138" spans="1:82" x14ac:dyDescent="0.25">
      <c r="A138" t="s">
        <v>1894</v>
      </c>
      <c r="B138" t="s">
        <v>2054</v>
      </c>
      <c r="C138" t="s">
        <v>4038</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1901</v>
      </c>
      <c r="BV138">
        <v>2021</v>
      </c>
      <c r="BW138" t="s">
        <v>4295</v>
      </c>
      <c r="BX138">
        <v>671.94767335696099</v>
      </c>
      <c r="BY138">
        <v>5.5959925763464602</v>
      </c>
    </row>
    <row r="139" spans="1:82" x14ac:dyDescent="0.25">
      <c r="A139" t="s">
        <v>1894</v>
      </c>
      <c r="B139" t="s">
        <v>2063</v>
      </c>
      <c r="C139" t="s">
        <v>4038</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1901</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4295</v>
      </c>
      <c r="BX139">
        <v>684.15611925658698</v>
      </c>
      <c r="BY139">
        <v>3.5016325286358598</v>
      </c>
    </row>
    <row r="140" spans="1:82" x14ac:dyDescent="0.25">
      <c r="A140" t="s">
        <v>4393</v>
      </c>
      <c r="B140" t="s">
        <v>2053</v>
      </c>
      <c r="C140" t="s">
        <v>4490</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1901</v>
      </c>
      <c r="AT140" t="s">
        <v>1014</v>
      </c>
      <c r="AU140" t="s">
        <v>1981</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4295</v>
      </c>
      <c r="BX140">
        <v>756.54078520464805</v>
      </c>
      <c r="BY140">
        <v>4.2273460231186002</v>
      </c>
    </row>
    <row r="141" spans="1:82" x14ac:dyDescent="0.25">
      <c r="A141" t="s">
        <v>4393</v>
      </c>
      <c r="B141" t="s">
        <v>4773</v>
      </c>
      <c r="C141" t="s">
        <v>4490</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1901</v>
      </c>
      <c r="AT141" t="s">
        <v>1015</v>
      </c>
      <c r="AU141" t="s">
        <v>1982</v>
      </c>
      <c r="AZ141">
        <v>1.8457929170796874</v>
      </c>
      <c r="BA141">
        <v>1.9146232406361869</v>
      </c>
      <c r="BB141">
        <v>1.9746995895154056</v>
      </c>
      <c r="BC141">
        <v>2.185648015431243</v>
      </c>
      <c r="BD141">
        <v>2.2687027585486872</v>
      </c>
      <c r="BE141">
        <v>2.351757501666131</v>
      </c>
      <c r="BF141">
        <v>2.4348122447835752</v>
      </c>
      <c r="BV141">
        <v>2035</v>
      </c>
      <c r="BW141" t="s">
        <v>4295</v>
      </c>
      <c r="BX141">
        <v>784.03412542946705</v>
      </c>
      <c r="BY141">
        <v>2.0606144272529199</v>
      </c>
    </row>
    <row r="142" spans="1:82" x14ac:dyDescent="0.25">
      <c r="A142" t="s">
        <v>1859</v>
      </c>
      <c r="B142" t="s">
        <v>2053</v>
      </c>
      <c r="C142" t="s">
        <v>2061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1901</v>
      </c>
      <c r="AT142" t="s">
        <v>1017</v>
      </c>
      <c r="AU142" t="s">
        <v>1980</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4295</v>
      </c>
      <c r="BX142">
        <v>862.45233323579896</v>
      </c>
      <c r="BY142">
        <v>3.6091130769609601</v>
      </c>
    </row>
    <row r="143" spans="1:82" x14ac:dyDescent="0.25">
      <c r="A143" t="s">
        <v>1859</v>
      </c>
      <c r="B143" t="s">
        <v>4773</v>
      </c>
      <c r="C143" t="s">
        <v>2061</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1901</v>
      </c>
      <c r="AT143" t="s">
        <v>1018</v>
      </c>
      <c r="AU143" t="s">
        <v>1976</v>
      </c>
      <c r="AZ143">
        <v>1.0411118002903679</v>
      </c>
      <c r="BA143">
        <v>1.0700159813457488</v>
      </c>
      <c r="BB143">
        <v>1.0879748430273828</v>
      </c>
      <c r="BC143">
        <v>1.1672246905821329</v>
      </c>
      <c r="BD143">
        <v>1.1964722138405202</v>
      </c>
      <c r="BE143">
        <v>1.2257197370989075</v>
      </c>
      <c r="BF143">
        <v>1.2549672603572952</v>
      </c>
      <c r="BV143">
        <v>2045</v>
      </c>
      <c r="BW143" t="s">
        <v>4295</v>
      </c>
      <c r="BX143">
        <v>950.19546431990204</v>
      </c>
      <c r="BY143">
        <v>9.8225844716146096</v>
      </c>
    </row>
    <row r="144" spans="1:82" x14ac:dyDescent="0.25">
      <c r="A144" t="s">
        <v>1865</v>
      </c>
      <c r="B144" t="s">
        <v>2030</v>
      </c>
      <c r="C144" t="s">
        <v>2056</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1901</v>
      </c>
      <c r="AT144" t="s">
        <v>1020</v>
      </c>
      <c r="AU144" t="s">
        <v>1979</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4295</v>
      </c>
      <c r="BX144">
        <v>980.94981983292701</v>
      </c>
      <c r="BY144">
        <v>11.0050595147039</v>
      </c>
    </row>
    <row r="145" spans="1:78" x14ac:dyDescent="0.25">
      <c r="A145" t="s">
        <v>1865</v>
      </c>
      <c r="B145" t="s">
        <v>2031</v>
      </c>
      <c r="C145" t="s">
        <v>2056</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1901</v>
      </c>
      <c r="AT145" t="s">
        <v>1021</v>
      </c>
      <c r="AU145" t="s">
        <v>1978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1866</v>
      </c>
      <c r="B146" t="s">
        <v>2030</v>
      </c>
      <c r="C146" t="s">
        <v>2057</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1901</v>
      </c>
      <c r="BV146">
        <v>2021</v>
      </c>
      <c r="BW146" t="s">
        <v>4296</v>
      </c>
      <c r="BX146">
        <v>672.78413072583703</v>
      </c>
      <c r="BY146">
        <v>5.6129148266239399</v>
      </c>
      <c r="BZ146">
        <f>(BY146-BY138)/(BX146-BX138) * 1000</f>
        <v>20.230858029523255</v>
      </c>
    </row>
    <row r="147" spans="1:78" x14ac:dyDescent="0.25">
      <c r="A147" t="s">
        <v>1866</v>
      </c>
      <c r="B147" t="s">
        <v>2031</v>
      </c>
      <c r="C147" t="s">
        <v>2057</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1901</v>
      </c>
      <c r="AT147" t="s">
        <v>1023</v>
      </c>
      <c r="AU147" t="s">
        <v>1977</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4296</v>
      </c>
      <c r="BX147">
        <v>705.58082073007097</v>
      </c>
      <c r="BY147">
        <v>3.8091831385186601</v>
      </c>
      <c r="BZ147">
        <f t="shared" ref="BZ147:BZ152" si="375">(BY147-BY139)/(BX147-BX139) * 1000</f>
        <v>14.354954269184864</v>
      </c>
    </row>
    <row r="148" spans="1:78" x14ac:dyDescent="0.25">
      <c r="A148" t="s">
        <v>2954</v>
      </c>
      <c r="B148" t="s">
        <v>2935</v>
      </c>
      <c r="C148" t="s">
        <v>2951</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2079</v>
      </c>
      <c r="BV148">
        <v>2030</v>
      </c>
      <c r="BW148" t="s">
        <v>4296</v>
      </c>
      <c r="BX148">
        <v>814.38404590107996</v>
      </c>
      <c r="BY148">
        <v>4.0617267544120503</v>
      </c>
      <c r="BZ148">
        <f t="shared" si="375"/>
        <v>-2.8632422638782216</v>
      </c>
    </row>
    <row r="149" spans="1:78" x14ac:dyDescent="0.25">
      <c r="A149" t="s">
        <v>2067</v>
      </c>
      <c r="B149" t="s">
        <v>436</v>
      </c>
      <c r="C149" t="s">
        <v>2115</v>
      </c>
      <c r="D149" t="s">
        <v>95</v>
      </c>
      <c r="G149" s="52" t="s">
        <v>1769</v>
      </c>
      <c r="R149" s="59"/>
      <c r="S149" s="59"/>
      <c r="T149" s="59"/>
      <c r="U149" s="59"/>
      <c r="V149" s="59"/>
      <c r="W149" s="59"/>
      <c r="X149" s="59"/>
      <c r="Y149" s="59"/>
      <c r="Z149" s="59"/>
      <c r="AA149" s="59"/>
      <c r="AB149" s="59"/>
      <c r="AC149" s="245">
        <v>1</v>
      </c>
      <c r="AK149" s="54" t="s">
        <v>2079</v>
      </c>
      <c r="BV149">
        <v>2035</v>
      </c>
      <c r="BW149" t="s">
        <v>4296</v>
      </c>
      <c r="BX149">
        <v>926.46122241717296</v>
      </c>
      <c r="BY149">
        <v>2.53125120400688</v>
      </c>
      <c r="BZ149">
        <f t="shared" si="375"/>
        <v>3.3044047565933661</v>
      </c>
    </row>
    <row r="150" spans="1:78" x14ac:dyDescent="0.25">
      <c r="A150" t="s">
        <v>2082</v>
      </c>
      <c r="B150" t="s">
        <v>436</v>
      </c>
      <c r="C150" t="s">
        <v>2116</v>
      </c>
      <c r="D150" t="s">
        <v>95</v>
      </c>
      <c r="G150" s="52" t="s">
        <v>1769</v>
      </c>
      <c r="R150" s="59"/>
      <c r="S150" s="59"/>
      <c r="T150" s="59"/>
      <c r="U150" s="59"/>
      <c r="V150" s="59"/>
      <c r="W150" s="59"/>
      <c r="X150" s="59"/>
      <c r="Y150" s="59"/>
      <c r="Z150" s="59"/>
      <c r="AA150" s="59"/>
      <c r="AB150" s="59"/>
      <c r="AC150" s="245">
        <v>1</v>
      </c>
      <c r="AK150" s="54" t="s">
        <v>2079</v>
      </c>
      <c r="BV150">
        <v>2040</v>
      </c>
      <c r="BW150" t="s">
        <v>4296</v>
      </c>
      <c r="BX150">
        <v>1051.9496640725099</v>
      </c>
      <c r="BY150">
        <v>4.3911983725187902</v>
      </c>
      <c r="BZ150">
        <f t="shared" si="375"/>
        <v>4.1271573172275957</v>
      </c>
    </row>
    <row r="151" spans="1:78" x14ac:dyDescent="0.25">
      <c r="A151" t="s">
        <v>2068</v>
      </c>
      <c r="B151" t="s">
        <v>436</v>
      </c>
      <c r="C151" t="s">
        <v>2117</v>
      </c>
      <c r="D151" t="s">
        <v>95</v>
      </c>
      <c r="G151" s="52" t="s">
        <v>1769</v>
      </c>
      <c r="R151" s="59"/>
      <c r="S151" s="59"/>
      <c r="T151" s="59"/>
      <c r="U151" s="59"/>
      <c r="V151" s="59"/>
      <c r="W151" s="59"/>
      <c r="X151" s="59"/>
      <c r="Y151" s="59"/>
      <c r="Z151" s="59"/>
      <c r="AA151" s="59"/>
      <c r="AB151" s="59"/>
      <c r="AC151" s="245">
        <v>1</v>
      </c>
      <c r="AK151" s="54" t="s">
        <v>2079</v>
      </c>
      <c r="BV151">
        <v>2045</v>
      </c>
      <c r="BW151" t="s">
        <v>4296</v>
      </c>
      <c r="BX151">
        <v>1174.86499155912</v>
      </c>
      <c r="BY151">
        <v>11.717885148050801</v>
      </c>
      <c r="BZ151">
        <f t="shared" si="375"/>
        <v>8.4359490124273115</v>
      </c>
    </row>
    <row r="152" spans="1:78" x14ac:dyDescent="0.25">
      <c r="A152" t="s">
        <v>2077</v>
      </c>
      <c r="B152" t="s">
        <v>436</v>
      </c>
      <c r="C152" t="s">
        <v>2118</v>
      </c>
      <c r="D152" t="s">
        <v>95</v>
      </c>
      <c r="G152" s="52" t="s">
        <v>1769</v>
      </c>
      <c r="R152" s="59"/>
      <c r="S152" s="59"/>
      <c r="T152" s="59"/>
      <c r="U152" s="59"/>
      <c r="V152" s="59"/>
      <c r="W152" s="59"/>
      <c r="X152" s="59"/>
      <c r="Y152" s="59"/>
      <c r="Z152" s="59"/>
      <c r="AA152" s="59"/>
      <c r="AB152" s="59"/>
      <c r="AC152" s="245">
        <v>1</v>
      </c>
      <c r="AK152" s="54" t="s">
        <v>2079</v>
      </c>
      <c r="BV152">
        <v>2050</v>
      </c>
      <c r="BW152" t="s">
        <v>4296</v>
      </c>
      <c r="BX152">
        <v>1234.85046214974</v>
      </c>
      <c r="BY152">
        <v>14.2147582991385</v>
      </c>
      <c r="BZ152">
        <f t="shared" si="375"/>
        <v>12.641554409419696</v>
      </c>
    </row>
    <row r="153" spans="1:78" x14ac:dyDescent="0.25">
      <c r="A153" t="s">
        <v>2069</v>
      </c>
      <c r="B153" t="s">
        <v>436</v>
      </c>
      <c r="C153" t="s">
        <v>2119</v>
      </c>
      <c r="D153" t="s">
        <v>95</v>
      </c>
      <c r="G153" s="52" t="s">
        <v>1769</v>
      </c>
      <c r="R153" s="59"/>
      <c r="S153" s="59"/>
      <c r="T153" s="59"/>
      <c r="U153" s="59"/>
      <c r="V153" s="59"/>
      <c r="W153" s="59"/>
      <c r="X153" s="59"/>
      <c r="Y153" s="59"/>
      <c r="Z153" s="59"/>
      <c r="AA153" s="59"/>
      <c r="AB153" s="59"/>
      <c r="AC153" s="245">
        <v>1</v>
      </c>
      <c r="AK153" s="54" t="s">
        <v>2079</v>
      </c>
      <c r="BV153">
        <v>2021</v>
      </c>
      <c r="BW153" t="s">
        <v>4297</v>
      </c>
      <c r="BX153">
        <v>670.87597552430304</v>
      </c>
      <c r="BY153">
        <v>5.9819104604164499</v>
      </c>
      <c r="BZ153">
        <f>(BY153-BY138)/(BX153-BX138) * 1000</f>
        <v>-360.09952834640382</v>
      </c>
    </row>
    <row r="154" spans="1:78" x14ac:dyDescent="0.25">
      <c r="A154" t="s">
        <v>2070</v>
      </c>
      <c r="B154" t="s">
        <v>436</v>
      </c>
      <c r="C154" t="s">
        <v>2120</v>
      </c>
      <c r="D154" t="s">
        <v>95</v>
      </c>
      <c r="G154" s="52" t="s">
        <v>1769</v>
      </c>
      <c r="R154" s="59"/>
      <c r="S154" s="59"/>
      <c r="T154" s="59"/>
      <c r="U154" s="59"/>
      <c r="V154" s="59"/>
      <c r="W154" s="59"/>
      <c r="X154" s="59"/>
      <c r="Y154" s="59"/>
      <c r="Z154" s="59"/>
      <c r="AA154" s="59"/>
      <c r="AB154" s="59"/>
      <c r="AD154" s="59">
        <v>1</v>
      </c>
      <c r="AK154" s="54" t="s">
        <v>2079</v>
      </c>
      <c r="BV154">
        <v>2025</v>
      </c>
      <c r="BW154" t="s">
        <v>4297</v>
      </c>
      <c r="BX154">
        <v>710.20875562529898</v>
      </c>
      <c r="BY154">
        <v>4.7855230755699196</v>
      </c>
      <c r="BZ154">
        <f t="shared" ref="BZ154:BZ159" si="376">(BY154-BY139)/(BX154-BX139) * 1000</f>
        <v>49.280638195831585</v>
      </c>
    </row>
    <row r="155" spans="1:78" x14ac:dyDescent="0.25">
      <c r="A155" t="s">
        <v>4084</v>
      </c>
      <c r="B155" t="s">
        <v>2897</v>
      </c>
      <c r="C155" t="s">
        <v>4082</v>
      </c>
      <c r="D155" t="s">
        <v>95</v>
      </c>
      <c r="G155" s="52" t="s">
        <v>1769</v>
      </c>
      <c r="R155" s="59"/>
      <c r="S155" s="59"/>
      <c r="T155" s="59"/>
      <c r="U155" s="59"/>
      <c r="V155" s="59"/>
      <c r="W155" s="59"/>
      <c r="X155" s="59"/>
      <c r="Y155" s="59"/>
      <c r="Z155" s="59"/>
      <c r="AA155" s="59"/>
      <c r="AB155" s="59"/>
      <c r="AC155" s="245">
        <v>1</v>
      </c>
      <c r="AK155" s="54" t="s">
        <v>2900</v>
      </c>
      <c r="BV155">
        <v>2030</v>
      </c>
      <c r="BW155" t="s">
        <v>4297</v>
      </c>
      <c r="BX155">
        <v>783.98770683636701</v>
      </c>
      <c r="BY155">
        <v>4.0946995185260802</v>
      </c>
      <c r="BZ155">
        <f t="shared" si="376"/>
        <v>-4.8328372256955561</v>
      </c>
    </row>
    <row r="156" spans="1:78" x14ac:dyDescent="0.25">
      <c r="A156" t="s">
        <v>2071</v>
      </c>
      <c r="B156" t="s">
        <v>436</v>
      </c>
      <c r="C156" t="s">
        <v>2121</v>
      </c>
      <c r="D156" t="s">
        <v>95</v>
      </c>
      <c r="G156" s="52" t="s">
        <v>1769</v>
      </c>
      <c r="R156" s="59"/>
      <c r="S156" s="59"/>
      <c r="T156" s="59"/>
      <c r="U156" s="59"/>
      <c r="V156" s="59"/>
      <c r="W156" s="59"/>
      <c r="X156" s="59"/>
      <c r="Y156" s="59"/>
      <c r="Z156" s="59"/>
      <c r="AA156" s="59"/>
      <c r="AB156" s="59"/>
      <c r="AC156" s="245">
        <v>1</v>
      </c>
      <c r="AK156" s="54" t="s">
        <v>2079</v>
      </c>
      <c r="BV156">
        <v>2035</v>
      </c>
      <c r="BW156" t="s">
        <v>4297</v>
      </c>
      <c r="BX156">
        <v>919.33283215490303</v>
      </c>
      <c r="BY156">
        <v>3.3184234620955499</v>
      </c>
      <c r="BZ156">
        <f t="shared" si="376"/>
        <v>9.2965340562724208</v>
      </c>
    </row>
    <row r="157" spans="1:78" x14ac:dyDescent="0.25">
      <c r="A157" t="s">
        <v>2072</v>
      </c>
      <c r="B157" t="s">
        <v>436</v>
      </c>
      <c r="C157" t="s">
        <v>2122</v>
      </c>
      <c r="D157" t="s">
        <v>95</v>
      </c>
      <c r="G157" s="52" t="s">
        <v>1769</v>
      </c>
      <c r="R157" s="59"/>
      <c r="S157" s="59"/>
      <c r="T157" s="59"/>
      <c r="U157" s="59"/>
      <c r="V157" s="59"/>
      <c r="W157" s="59"/>
      <c r="X157" s="59"/>
      <c r="Y157" s="59"/>
      <c r="Z157" s="59"/>
      <c r="AA157" s="59"/>
      <c r="AB157" s="59"/>
      <c r="AC157" s="245">
        <v>1</v>
      </c>
      <c r="AK157" s="54" t="s">
        <v>2079</v>
      </c>
      <c r="BV157">
        <v>2040</v>
      </c>
      <c r="BW157" t="s">
        <v>4297</v>
      </c>
      <c r="BX157">
        <v>1029.32320588179</v>
      </c>
      <c r="BY157">
        <v>4.7786329396448197</v>
      </c>
      <c r="BZ157">
        <f t="shared" si="376"/>
        <v>7.0085320711718362</v>
      </c>
    </row>
    <row r="158" spans="1:78" x14ac:dyDescent="0.25">
      <c r="A158" t="s">
        <v>2073</v>
      </c>
      <c r="B158" t="s">
        <v>436</v>
      </c>
      <c r="C158" t="s">
        <v>2123</v>
      </c>
      <c r="D158" t="s">
        <v>95</v>
      </c>
      <c r="G158" s="52" t="s">
        <v>1769</v>
      </c>
      <c r="R158" s="59"/>
      <c r="S158" s="59"/>
      <c r="T158" s="59"/>
      <c r="U158" s="59"/>
      <c r="V158" s="59"/>
      <c r="W158" s="59"/>
      <c r="X158" s="59"/>
      <c r="Y158" s="59"/>
      <c r="Z158" s="59"/>
      <c r="AA158" s="59"/>
      <c r="AB158" s="59"/>
      <c r="AC158" s="245">
        <v>1</v>
      </c>
      <c r="AK158" s="54" t="s">
        <v>2079</v>
      </c>
      <c r="BV158">
        <v>2045</v>
      </c>
      <c r="BW158" t="s">
        <v>4297</v>
      </c>
      <c r="BX158">
        <v>1121.13972146325</v>
      </c>
      <c r="BY158">
        <v>10.7210090278903</v>
      </c>
      <c r="BZ158">
        <f t="shared" si="376"/>
        <v>5.255658021446739</v>
      </c>
    </row>
    <row r="159" spans="1:78" x14ac:dyDescent="0.25">
      <c r="A159" t="s">
        <v>2078</v>
      </c>
      <c r="B159" t="s">
        <v>436</v>
      </c>
      <c r="C159" t="s">
        <v>2124</v>
      </c>
      <c r="D159" t="s">
        <v>95</v>
      </c>
      <c r="G159" s="52" t="s">
        <v>1769</v>
      </c>
      <c r="R159" s="59"/>
      <c r="S159" s="59"/>
      <c r="T159" s="59"/>
      <c r="U159" s="59"/>
      <c r="V159" s="59"/>
      <c r="W159" s="59"/>
      <c r="X159" s="59"/>
      <c r="Y159" s="59"/>
      <c r="Z159" s="59"/>
      <c r="AA159" s="59"/>
      <c r="AB159" s="59"/>
      <c r="AC159" s="245">
        <v>1</v>
      </c>
      <c r="AK159" s="54" t="s">
        <v>2079</v>
      </c>
      <c r="BV159">
        <v>2050</v>
      </c>
      <c r="BW159" t="s">
        <v>4297</v>
      </c>
      <c r="BX159">
        <v>1189.31507244267</v>
      </c>
      <c r="BY159">
        <v>10.6041637474264</v>
      </c>
      <c r="BZ159">
        <f t="shared" si="376"/>
        <v>-1.9240049012795657</v>
      </c>
    </row>
    <row r="160" spans="1:78" x14ac:dyDescent="0.25">
      <c r="A160" t="s">
        <v>2084</v>
      </c>
      <c r="B160" t="s">
        <v>2115</v>
      </c>
      <c r="C160" t="s">
        <v>2029</v>
      </c>
      <c r="D160" t="s">
        <v>95</v>
      </c>
      <c r="G160" s="52" t="s">
        <v>1769</v>
      </c>
      <c r="AC160" s="245">
        <v>1</v>
      </c>
      <c r="AK160" s="54" t="s">
        <v>2125</v>
      </c>
    </row>
    <row r="161" spans="1:42" x14ac:dyDescent="0.25">
      <c r="A161" t="s">
        <v>2085</v>
      </c>
      <c r="B161" t="s">
        <v>2116</v>
      </c>
      <c r="C161" t="s">
        <v>2083</v>
      </c>
      <c r="D161" t="s">
        <v>95</v>
      </c>
      <c r="G161" s="52" t="s">
        <v>1769</v>
      </c>
      <c r="AC161" s="245">
        <v>1</v>
      </c>
      <c r="AK161" s="54" t="s">
        <v>2125</v>
      </c>
    </row>
    <row r="162" spans="1:42" x14ac:dyDescent="0.25">
      <c r="A162" t="s">
        <v>2086</v>
      </c>
      <c r="B162" t="s">
        <v>2117</v>
      </c>
      <c r="C162" t="s">
        <v>2027</v>
      </c>
      <c r="D162" t="s">
        <v>95</v>
      </c>
      <c r="G162" s="52" t="s">
        <v>1769</v>
      </c>
      <c r="AC162" s="245">
        <v>1</v>
      </c>
      <c r="AK162" s="54" t="s">
        <v>2125</v>
      </c>
    </row>
    <row r="163" spans="1:42" x14ac:dyDescent="0.25">
      <c r="A163" t="s">
        <v>2087</v>
      </c>
      <c r="B163" t="s">
        <v>2118</v>
      </c>
      <c r="C163" t="s">
        <v>2028</v>
      </c>
      <c r="D163" t="s">
        <v>95</v>
      </c>
      <c r="G163" s="52" t="s">
        <v>1769</v>
      </c>
      <c r="AC163" s="245">
        <v>1</v>
      </c>
      <c r="AK163" s="54" t="s">
        <v>2125</v>
      </c>
    </row>
    <row r="164" spans="1:42" x14ac:dyDescent="0.25">
      <c r="A164" t="s">
        <v>2088</v>
      </c>
      <c r="B164" t="s">
        <v>2119</v>
      </c>
      <c r="C164" t="s">
        <v>2055</v>
      </c>
      <c r="D164" t="s">
        <v>95</v>
      </c>
      <c r="G164" s="52" t="s">
        <v>1769</v>
      </c>
      <c r="AC164" s="245">
        <v>1</v>
      </c>
      <c r="AK164" s="54" t="s">
        <v>2125</v>
      </c>
    </row>
    <row r="165" spans="1:42" x14ac:dyDescent="0.25">
      <c r="A165" t="s">
        <v>2089</v>
      </c>
      <c r="B165" t="s">
        <v>2120</v>
      </c>
      <c r="C165" t="s">
        <v>2060</v>
      </c>
      <c r="D165" t="s">
        <v>95</v>
      </c>
      <c r="G165" s="52" t="s">
        <v>1769</v>
      </c>
      <c r="AD165" s="59">
        <v>1</v>
      </c>
      <c r="AK165" s="54" t="s">
        <v>2125</v>
      </c>
    </row>
    <row r="166" spans="1:42" x14ac:dyDescent="0.25">
      <c r="A166" t="s">
        <v>4085</v>
      </c>
      <c r="B166" t="s">
        <v>4082</v>
      </c>
      <c r="C166" t="s">
        <v>4083</v>
      </c>
      <c r="D166" t="s">
        <v>95</v>
      </c>
      <c r="G166" s="52" t="s">
        <v>1769</v>
      </c>
      <c r="AC166" s="245">
        <v>1</v>
      </c>
      <c r="AK166" s="54" t="s">
        <v>2125</v>
      </c>
    </row>
    <row r="167" spans="1:42" x14ac:dyDescent="0.25">
      <c r="A167" t="s">
        <v>2090</v>
      </c>
      <c r="B167" t="s">
        <v>2121</v>
      </c>
      <c r="C167" t="s">
        <v>2058</v>
      </c>
      <c r="D167" t="s">
        <v>95</v>
      </c>
      <c r="G167" s="52" t="s">
        <v>1769</v>
      </c>
      <c r="AC167" s="245">
        <v>1</v>
      </c>
      <c r="AK167" s="54" t="s">
        <v>2125</v>
      </c>
    </row>
    <row r="168" spans="1:42" x14ac:dyDescent="0.25">
      <c r="A168" t="s">
        <v>2091</v>
      </c>
      <c r="B168" t="s">
        <v>2122</v>
      </c>
      <c r="C168" t="s">
        <v>2059</v>
      </c>
      <c r="D168" t="s">
        <v>95</v>
      </c>
      <c r="G168" s="52" t="s">
        <v>1769</v>
      </c>
      <c r="AC168" s="245">
        <v>1</v>
      </c>
      <c r="AK168" s="54" t="s">
        <v>2125</v>
      </c>
    </row>
    <row r="169" spans="1:42" x14ac:dyDescent="0.25">
      <c r="A169" t="s">
        <v>2092</v>
      </c>
      <c r="B169" t="s">
        <v>2123</v>
      </c>
      <c r="C169" t="s">
        <v>2030</v>
      </c>
      <c r="D169" t="s">
        <v>95</v>
      </c>
      <c r="G169" s="52" t="s">
        <v>1769</v>
      </c>
      <c r="AC169" s="245">
        <v>1</v>
      </c>
      <c r="AK169" s="54" t="s">
        <v>2125</v>
      </c>
    </row>
    <row r="170" spans="1:42" x14ac:dyDescent="0.25">
      <c r="A170" t="s">
        <v>2093</v>
      </c>
      <c r="B170" t="s">
        <v>2124</v>
      </c>
      <c r="C170" t="s">
        <v>2031</v>
      </c>
      <c r="D170" t="s">
        <v>95</v>
      </c>
      <c r="G170" s="52" t="s">
        <v>1769</v>
      </c>
      <c r="AC170" s="245">
        <v>1</v>
      </c>
      <c r="AK170" s="54" t="s">
        <v>2125</v>
      </c>
    </row>
    <row r="171" spans="1:42" x14ac:dyDescent="0.25">
      <c r="A171" t="s">
        <v>2883</v>
      </c>
      <c r="B171" t="s">
        <v>2893</v>
      </c>
      <c r="C171" t="s">
        <v>2891</v>
      </c>
      <c r="D171" t="s">
        <v>95</v>
      </c>
      <c r="E171" t="s">
        <v>1644</v>
      </c>
      <c r="F171">
        <v>2022</v>
      </c>
      <c r="G171" s="52" t="s">
        <v>1769</v>
      </c>
      <c r="AC171" s="245">
        <v>1</v>
      </c>
      <c r="AK171" s="54" t="s">
        <v>2901</v>
      </c>
      <c r="AL171" s="377">
        <v>3</v>
      </c>
      <c r="AM171" s="377">
        <v>2</v>
      </c>
      <c r="AN171" s="377">
        <v>1</v>
      </c>
      <c r="AO171" s="377">
        <v>3</v>
      </c>
      <c r="AP171" s="377">
        <v>1</v>
      </c>
    </row>
    <row r="172" spans="1:42" x14ac:dyDescent="0.25">
      <c r="A172" t="s">
        <v>2886</v>
      </c>
      <c r="B172" t="s">
        <v>4080</v>
      </c>
      <c r="C172" t="s">
        <v>2903</v>
      </c>
      <c r="D172" t="s">
        <v>95</v>
      </c>
      <c r="E172" t="s">
        <v>1644</v>
      </c>
      <c r="F172">
        <v>2022</v>
      </c>
      <c r="G172" s="52" t="s">
        <v>1769</v>
      </c>
      <c r="AC172" s="245">
        <v>0.99</v>
      </c>
      <c r="AD172" s="59">
        <v>0.99</v>
      </c>
      <c r="AE172" s="59">
        <v>0.99</v>
      </c>
      <c r="AF172" s="59">
        <v>0.99</v>
      </c>
      <c r="AG172" s="59">
        <v>0.99</v>
      </c>
      <c r="AH172" s="59">
        <v>0.99</v>
      </c>
      <c r="AI172" s="59">
        <v>0.99</v>
      </c>
      <c r="AK172" s="54" t="s">
        <v>2904</v>
      </c>
      <c r="AL172" s="377">
        <v>3</v>
      </c>
      <c r="AM172" s="377">
        <v>2</v>
      </c>
      <c r="AN172" s="377">
        <v>1</v>
      </c>
      <c r="AO172" s="377">
        <v>3</v>
      </c>
      <c r="AP172" s="377">
        <v>1</v>
      </c>
    </row>
    <row r="173" spans="1:42" x14ac:dyDescent="0.25">
      <c r="A173" t="s">
        <v>2902</v>
      </c>
      <c r="B173" t="s">
        <v>2032</v>
      </c>
      <c r="C173" t="s">
        <v>2032</v>
      </c>
      <c r="D173" t="s">
        <v>95</v>
      </c>
      <c r="E173" t="s">
        <v>1644</v>
      </c>
      <c r="F173">
        <v>2022</v>
      </c>
      <c r="G173" s="52" t="s">
        <v>1769</v>
      </c>
      <c r="AC173" s="245">
        <v>1</v>
      </c>
      <c r="AD173" s="59">
        <v>1</v>
      </c>
      <c r="AE173" s="59">
        <v>1</v>
      </c>
      <c r="AF173" s="59">
        <v>1</v>
      </c>
      <c r="AG173" s="59">
        <v>1</v>
      </c>
      <c r="AH173" s="59">
        <v>1</v>
      </c>
      <c r="AI173" s="59">
        <v>1</v>
      </c>
      <c r="AK173" s="54" t="s">
        <v>1902</v>
      </c>
      <c r="AL173" s="377">
        <v>3</v>
      </c>
      <c r="AM173" s="377">
        <v>2</v>
      </c>
      <c r="AN173" s="377">
        <v>1</v>
      </c>
      <c r="AO173" s="377">
        <v>3</v>
      </c>
      <c r="AP173" s="377">
        <v>1</v>
      </c>
    </row>
    <row r="174" spans="1:42" x14ac:dyDescent="0.25">
      <c r="A174" t="s">
        <v>4689</v>
      </c>
      <c r="B174" t="s">
        <v>2903</v>
      </c>
      <c r="C174" t="s">
        <v>2893</v>
      </c>
      <c r="D174" t="s">
        <v>95</v>
      </c>
      <c r="E174" t="s">
        <v>4700</v>
      </c>
      <c r="F174">
        <v>2021</v>
      </c>
      <c r="G174" s="52" t="s">
        <v>1769</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4738</v>
      </c>
      <c r="AL174" s="377">
        <v>2</v>
      </c>
      <c r="AM174" s="377">
        <v>2</v>
      </c>
      <c r="AN174" s="377">
        <v>1</v>
      </c>
      <c r="AO174" s="377">
        <v>3</v>
      </c>
      <c r="AP174" s="377">
        <v>1</v>
      </c>
    </row>
    <row r="175" spans="1:42" x14ac:dyDescent="0.25">
      <c r="A175" t="s">
        <v>4690</v>
      </c>
      <c r="B175" t="s">
        <v>2903</v>
      </c>
      <c r="C175" t="s">
        <v>2893</v>
      </c>
      <c r="D175" t="s">
        <v>95</v>
      </c>
      <c r="E175" t="s">
        <v>4700</v>
      </c>
      <c r="F175">
        <v>2021</v>
      </c>
      <c r="G175" s="52" t="s">
        <v>1769</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4739</v>
      </c>
      <c r="AL175" s="377">
        <v>2</v>
      </c>
      <c r="AM175" s="377">
        <v>2</v>
      </c>
      <c r="AN175" s="377">
        <v>1</v>
      </c>
      <c r="AO175" s="377">
        <v>3</v>
      </c>
      <c r="AP175" s="377">
        <v>1</v>
      </c>
    </row>
    <row r="176" spans="1:42" x14ac:dyDescent="0.25">
      <c r="A176" t="s">
        <v>2884</v>
      </c>
      <c r="B176" t="s">
        <v>4083</v>
      </c>
      <c r="C176" t="s">
        <v>2893</v>
      </c>
      <c r="D176" t="s">
        <v>95</v>
      </c>
      <c r="E176" t="s">
        <v>4634</v>
      </c>
      <c r="F176">
        <v>2024</v>
      </c>
      <c r="G176" s="52" t="s">
        <v>1769</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4635</v>
      </c>
      <c r="AL176" s="377">
        <v>2</v>
      </c>
      <c r="AM176" s="377">
        <v>2</v>
      </c>
      <c r="AN176" s="377">
        <v>1</v>
      </c>
      <c r="AO176" s="377">
        <v>3</v>
      </c>
      <c r="AP176" s="377">
        <v>1</v>
      </c>
    </row>
    <row r="177" spans="1:64" x14ac:dyDescent="0.25">
      <c r="A177" t="s">
        <v>4693</v>
      </c>
      <c r="B177" t="s">
        <v>4083</v>
      </c>
      <c r="C177" t="s">
        <v>2893</v>
      </c>
      <c r="D177" t="s">
        <v>95</v>
      </c>
      <c r="E177" t="s">
        <v>4634</v>
      </c>
      <c r="F177">
        <v>2024</v>
      </c>
      <c r="G177" s="52" t="s">
        <v>1769</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4740</v>
      </c>
      <c r="AL177" s="377">
        <v>2</v>
      </c>
      <c r="AM177" s="377">
        <v>2</v>
      </c>
      <c r="AN177" s="377">
        <v>1</v>
      </c>
      <c r="AO177" s="377">
        <v>3</v>
      </c>
      <c r="AP177" s="377">
        <v>1</v>
      </c>
      <c r="AT177" s="28" t="s">
        <v>2803</v>
      </c>
    </row>
    <row r="178" spans="1:64" x14ac:dyDescent="0.25">
      <c r="A178" t="s">
        <v>4756</v>
      </c>
      <c r="B178" t="s">
        <v>4761</v>
      </c>
      <c r="C178" t="s">
        <v>2038</v>
      </c>
      <c r="D178" t="s">
        <v>95</v>
      </c>
      <c r="G178" s="52" t="s">
        <v>4774</v>
      </c>
      <c r="AC178" s="245">
        <v>1</v>
      </c>
      <c r="AD178" s="59"/>
      <c r="AE178" s="59"/>
      <c r="AF178" s="59"/>
      <c r="AG178" s="59"/>
      <c r="AH178" s="59"/>
      <c r="AI178" s="59"/>
      <c r="AK178" s="54" t="s">
        <v>4760</v>
      </c>
      <c r="AT178" t="s">
        <v>1497</v>
      </c>
      <c r="AU178">
        <v>2020</v>
      </c>
      <c r="AV178">
        <v>2023</v>
      </c>
      <c r="AW178">
        <v>2025</v>
      </c>
      <c r="AX178">
        <v>2030</v>
      </c>
      <c r="AY178">
        <v>2035</v>
      </c>
      <c r="AZ178">
        <v>2040</v>
      </c>
      <c r="BA178">
        <v>2045</v>
      </c>
      <c r="BB178">
        <v>2050</v>
      </c>
    </row>
    <row r="179" spans="1:64" x14ac:dyDescent="0.25">
      <c r="A179" t="s">
        <v>4757</v>
      </c>
      <c r="B179" t="s">
        <v>4762</v>
      </c>
      <c r="C179" t="s">
        <v>2039</v>
      </c>
      <c r="D179" t="s">
        <v>95</v>
      </c>
      <c r="G179" s="52" t="s">
        <v>4774</v>
      </c>
      <c r="AC179" s="245">
        <v>1</v>
      </c>
      <c r="AD179" s="59"/>
      <c r="AE179" s="59"/>
      <c r="AF179" s="59"/>
      <c r="AG179" s="59"/>
      <c r="AH179" s="59"/>
      <c r="AI179" s="59"/>
      <c r="AK179" s="54" t="s">
        <v>4760</v>
      </c>
      <c r="AT179" t="s">
        <v>1494</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377">AU179/km_mile * 100</f>
        <v>913.31259404465209</v>
      </c>
      <c r="BF179">
        <f t="shared" si="377"/>
        <v>893.1729895374275</v>
      </c>
      <c r="BG179">
        <f t="shared" si="377"/>
        <v>873.03338503020291</v>
      </c>
      <c r="BH179">
        <f t="shared" si="377"/>
        <v>846.95095682423039</v>
      </c>
      <c r="BI179">
        <f t="shared" si="377"/>
        <v>767.43449264980472</v>
      </c>
      <c r="BJ179">
        <f t="shared" si="377"/>
        <v>742.14484116768813</v>
      </c>
      <c r="BK179">
        <f t="shared" si="377"/>
        <v>716.85518968557176</v>
      </c>
      <c r="BL179">
        <f t="shared" si="377"/>
        <v>691.56553820345539</v>
      </c>
    </row>
    <row r="180" spans="1:64" x14ac:dyDescent="0.25">
      <c r="A180" t="s">
        <v>4758</v>
      </c>
      <c r="B180" t="s">
        <v>4763</v>
      </c>
      <c r="C180" t="s">
        <v>2040</v>
      </c>
      <c r="D180" t="s">
        <v>95</v>
      </c>
      <c r="G180" s="52" t="s">
        <v>4775</v>
      </c>
      <c r="AC180" s="245">
        <v>1</v>
      </c>
      <c r="AD180" s="59"/>
      <c r="AE180" s="59"/>
      <c r="AF180" s="59"/>
      <c r="AG180" s="59"/>
      <c r="AH180" s="59"/>
      <c r="AI180" s="59"/>
      <c r="AK180" s="54" t="s">
        <v>4760</v>
      </c>
      <c r="AT180" t="s">
        <v>1495</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1:64" x14ac:dyDescent="0.25">
      <c r="A181" t="s">
        <v>4759</v>
      </c>
      <c r="B181" t="s">
        <v>4764</v>
      </c>
      <c r="C181" t="s">
        <v>2043</v>
      </c>
      <c r="D181" t="s">
        <v>95</v>
      </c>
      <c r="G181" s="52" t="s">
        <v>4774</v>
      </c>
      <c r="AC181" s="245">
        <v>1</v>
      </c>
      <c r="AK181" s="54" t="s">
        <v>4760</v>
      </c>
      <c r="AT181" t="s">
        <v>1496</v>
      </c>
      <c r="AV181">
        <v>18.117077100523858</v>
      </c>
      <c r="AW181">
        <v>17.799747623381666</v>
      </c>
      <c r="AX181">
        <v>17.602651071690072</v>
      </c>
      <c r="AY181">
        <v>17.578969871699208</v>
      </c>
      <c r="AZ181">
        <v>17.544114078532282</v>
      </c>
      <c r="BA181">
        <v>17.531821890146013</v>
      </c>
      <c r="BB181">
        <v>17.520332891792837</v>
      </c>
      <c r="BF181">
        <f t="shared" ref="BF181:BL181" si="378">AV181/km_mile * 100</f>
        <v>1125.7457778048056</v>
      </c>
      <c r="BG181">
        <f t="shared" si="378"/>
        <v>1106.0277892416559</v>
      </c>
      <c r="BH181">
        <f t="shared" si="378"/>
        <v>1093.7807468707713</v>
      </c>
      <c r="BI181">
        <f t="shared" si="378"/>
        <v>1092.3092616662241</v>
      </c>
      <c r="BJ181">
        <f t="shared" si="378"/>
        <v>1090.1434177074007</v>
      </c>
      <c r="BK181">
        <f t="shared" si="378"/>
        <v>1089.3796146337015</v>
      </c>
      <c r="BL181">
        <f t="shared" si="378"/>
        <v>1088.6657195988939</v>
      </c>
    </row>
    <row r="183" spans="1:64" x14ac:dyDescent="0.25">
      <c r="AT183" s="28" t="s">
        <v>2802</v>
      </c>
    </row>
    <row r="184" spans="1:64" x14ac:dyDescent="0.25">
      <c r="AT184" t="s">
        <v>1497</v>
      </c>
      <c r="AU184">
        <v>2020</v>
      </c>
      <c r="AV184">
        <v>2022</v>
      </c>
      <c r="AW184">
        <v>2025</v>
      </c>
      <c r="AX184">
        <v>2030</v>
      </c>
      <c r="AY184">
        <v>2035</v>
      </c>
      <c r="AZ184">
        <v>2040</v>
      </c>
      <c r="BA184">
        <v>2045</v>
      </c>
      <c r="BB184">
        <v>2050</v>
      </c>
    </row>
    <row r="185" spans="1:64" x14ac:dyDescent="0.25">
      <c r="AT185" t="s">
        <v>1691</v>
      </c>
      <c r="AU185">
        <v>20.000721955964547</v>
      </c>
      <c r="AV185">
        <f>(AW185-AU185)/2 + AU185</f>
        <v>19.36619075178757</v>
      </c>
      <c r="AW185">
        <v>18.731659547610597</v>
      </c>
      <c r="AX185">
        <v>17.653181833685419</v>
      </c>
      <c r="AY185">
        <v>16.902469505731968</v>
      </c>
      <c r="AZ185">
        <f t="shared" ref="AZ185:BA187" si="379">($BB185-$AY185)/3 + AY185</f>
        <v>16.31144582487094</v>
      </c>
      <c r="BA185">
        <f t="shared" si="379"/>
        <v>15.720422144009913</v>
      </c>
      <c r="BB185">
        <v>15.129398463148883</v>
      </c>
    </row>
    <row r="186" spans="1:64" x14ac:dyDescent="0.25">
      <c r="AT186" t="s">
        <v>1692</v>
      </c>
      <c r="AU186">
        <v>19.239945071804911</v>
      </c>
      <c r="AV186">
        <f>(AW186-AU186)/2 + AU186</f>
        <v>18.572849776093054</v>
      </c>
      <c r="AW186">
        <v>17.905754480381198</v>
      </c>
      <c r="AX186">
        <v>16.528541358628413</v>
      </c>
      <c r="AY186">
        <v>15.77857531689115</v>
      </c>
      <c r="AZ186">
        <f t="shared" si="379"/>
        <v>15.232063309435716</v>
      </c>
      <c r="BA186">
        <f t="shared" si="379"/>
        <v>14.685551301980283</v>
      </c>
      <c r="BB186">
        <v>14.139039294524851</v>
      </c>
    </row>
    <row r="187" spans="1:64" x14ac:dyDescent="0.25">
      <c r="AT187" t="s">
        <v>1693</v>
      </c>
      <c r="AU187">
        <v>23.314367568538266</v>
      </c>
      <c r="AV187">
        <f>(AW187-AU187)/2 + AU187</f>
        <v>22.582352584691805</v>
      </c>
      <c r="AW187">
        <v>21.850337600845343</v>
      </c>
      <c r="AX187">
        <v>20.603794817858521</v>
      </c>
      <c r="AY187">
        <v>19.73831254809431</v>
      </c>
      <c r="AZ187">
        <f t="shared" si="379"/>
        <v>19.066161967773322</v>
      </c>
      <c r="BA187">
        <f t="shared" si="379"/>
        <v>18.394011387452334</v>
      </c>
      <c r="BB187">
        <v>17.721860807131343</v>
      </c>
    </row>
    <row r="188" spans="1:64" x14ac:dyDescent="0.25">
      <c r="AT188" t="s">
        <v>1694</v>
      </c>
      <c r="AW188">
        <v>16.001028519825045</v>
      </c>
      <c r="AX188">
        <v>15.473721898148993</v>
      </c>
      <c r="AY188">
        <v>14.946415276472941</v>
      </c>
      <c r="AZ188">
        <v>14.419108654796888</v>
      </c>
      <c r="BA188">
        <v>13.891802033120836</v>
      </c>
      <c r="BB188">
        <v>13.36449541144478</v>
      </c>
    </row>
    <row r="189" spans="1:64" x14ac:dyDescent="0.25">
      <c r="AT189" t="s">
        <v>1496</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tabSelected="1" topLeftCell="A31" workbookViewId="0">
      <selection activeCell="E64" sqref="E64"/>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8"/>
      <c r="B1" s="729"/>
      <c r="C1" s="728"/>
      <c r="D1" s="730"/>
      <c r="E1" s="731"/>
      <c r="F1" s="1042" t="s">
        <v>2613</v>
      </c>
      <c r="G1" s="730"/>
    </row>
    <row r="2" spans="1:7" ht="93.95" customHeight="1" thickBot="1" x14ac:dyDescent="0.3">
      <c r="A2" s="722" t="s">
        <v>92</v>
      </c>
      <c r="B2" s="727" t="s">
        <v>93</v>
      </c>
      <c r="C2" s="722" t="s">
        <v>999</v>
      </c>
      <c r="D2" s="723" t="s">
        <v>1000</v>
      </c>
      <c r="E2" s="722" t="s">
        <v>1001</v>
      </c>
      <c r="F2" s="1043"/>
      <c r="G2" s="723" t="s">
        <v>91</v>
      </c>
    </row>
    <row r="3" spans="1:7" ht="15.75" thickTop="1" x14ac:dyDescent="0.25">
      <c r="A3" t="s">
        <v>4432</v>
      </c>
      <c r="B3" s="72" t="s">
        <v>95</v>
      </c>
      <c r="C3" t="s">
        <v>944</v>
      </c>
      <c r="D3" s="52" t="s">
        <v>145</v>
      </c>
      <c r="E3" s="80">
        <f>50*6500*4*1000/1000000000</f>
        <v>1.3</v>
      </c>
      <c r="F3" s="1115">
        <f>(E3*'Background Data'!V11)/('Background Data'!V22/1000)</f>
        <v>49.065772839810492</v>
      </c>
      <c r="G3" s="52" t="s">
        <v>4325</v>
      </c>
    </row>
    <row r="4" spans="1:7" x14ac:dyDescent="0.25">
      <c r="A4" t="s">
        <v>4433</v>
      </c>
      <c r="B4" s="72" t="s">
        <v>95</v>
      </c>
      <c r="C4" t="s">
        <v>944</v>
      </c>
      <c r="D4" s="52" t="s">
        <v>145</v>
      </c>
      <c r="E4" s="80">
        <f>50*6500*4*1000/1000000000</f>
        <v>1.3</v>
      </c>
      <c r="F4" s="1113"/>
      <c r="G4" s="52" t="s">
        <v>4325</v>
      </c>
    </row>
    <row r="5" spans="1:7" x14ac:dyDescent="0.25">
      <c r="A5" t="s">
        <v>4434</v>
      </c>
      <c r="B5" s="72" t="s">
        <v>95</v>
      </c>
      <c r="C5" t="s">
        <v>944</v>
      </c>
      <c r="D5" s="52" t="s">
        <v>145</v>
      </c>
      <c r="E5" s="80">
        <f>50*6500*4*1000/1000000000</f>
        <v>1.3</v>
      </c>
      <c r="F5" s="1113"/>
      <c r="G5" s="52" t="s">
        <v>4325</v>
      </c>
    </row>
    <row r="6" spans="1:7" x14ac:dyDescent="0.25">
      <c r="A6" t="s">
        <v>4435</v>
      </c>
      <c r="B6" s="72" t="s">
        <v>95</v>
      </c>
      <c r="C6" t="s">
        <v>944</v>
      </c>
      <c r="D6" s="52" t="s">
        <v>145</v>
      </c>
      <c r="E6" s="80">
        <f>50*6500*4*1000/1000000000</f>
        <v>1.3</v>
      </c>
      <c r="F6" s="1113"/>
      <c r="G6" s="52" t="s">
        <v>4325</v>
      </c>
    </row>
    <row r="7" spans="1:7" x14ac:dyDescent="0.25">
      <c r="A7" t="s">
        <v>4436</v>
      </c>
      <c r="B7" s="72" t="s">
        <v>95</v>
      </c>
      <c r="C7" t="s">
        <v>944</v>
      </c>
      <c r="D7" s="52" t="s">
        <v>145</v>
      </c>
      <c r="E7" s="80">
        <f>50*6500*4*1000/1000000000</f>
        <v>1.3</v>
      </c>
      <c r="F7" s="1113"/>
      <c r="G7" s="52" t="s">
        <v>4325</v>
      </c>
    </row>
    <row r="8" spans="1:7" x14ac:dyDescent="0.25">
      <c r="A8" t="s">
        <v>4437</v>
      </c>
      <c r="B8" s="72" t="s">
        <v>95</v>
      </c>
      <c r="C8" t="s">
        <v>944</v>
      </c>
      <c r="D8" s="52" t="s">
        <v>145</v>
      </c>
      <c r="E8" s="80">
        <f>50*6500*5*1000/1000000000</f>
        <v>1.625</v>
      </c>
      <c r="F8" s="1113">
        <f>(E8*'Background Data'!V12)/('Background Data'!V23/1000)</f>
        <v>54.088637478246731</v>
      </c>
      <c r="G8" s="52" t="s">
        <v>4326</v>
      </c>
    </row>
    <row r="9" spans="1:7" x14ac:dyDescent="0.25">
      <c r="A9" t="s">
        <v>4438</v>
      </c>
      <c r="B9" s="72" t="s">
        <v>95</v>
      </c>
      <c r="C9" t="s">
        <v>944</v>
      </c>
      <c r="D9" s="52" t="s">
        <v>145</v>
      </c>
      <c r="E9" s="80">
        <f>50*6500*5*1000/1000000000</f>
        <v>1.625</v>
      </c>
      <c r="F9" s="1113"/>
      <c r="G9" s="52" t="s">
        <v>4326</v>
      </c>
    </row>
    <row r="10" spans="1:7" ht="15" customHeight="1" x14ac:dyDescent="0.25">
      <c r="A10" t="s">
        <v>4439</v>
      </c>
      <c r="B10" s="72" t="s">
        <v>95</v>
      </c>
      <c r="C10" t="s">
        <v>944</v>
      </c>
      <c r="D10" s="52" t="s">
        <v>145</v>
      </c>
      <c r="E10" s="80">
        <f>50*6500*5*1000/1000000000</f>
        <v>1.625</v>
      </c>
      <c r="F10" s="1113"/>
      <c r="G10" s="52" t="s">
        <v>4326</v>
      </c>
    </row>
    <row r="11" spans="1:7" x14ac:dyDescent="0.25">
      <c r="A11" t="s">
        <v>4440</v>
      </c>
      <c r="B11" s="72" t="s">
        <v>95</v>
      </c>
      <c r="C11" t="s">
        <v>944</v>
      </c>
      <c r="D11" s="52" t="s">
        <v>145</v>
      </c>
      <c r="E11" s="80">
        <f>50*6500*5*1000/1000000000</f>
        <v>1.625</v>
      </c>
      <c r="F11" s="1113"/>
      <c r="G11" s="52" t="s">
        <v>4326</v>
      </c>
    </row>
    <row r="12" spans="1:7" x14ac:dyDescent="0.25">
      <c r="A12" t="s">
        <v>4441</v>
      </c>
      <c r="B12" s="72" t="s">
        <v>95</v>
      </c>
      <c r="C12" t="s">
        <v>944</v>
      </c>
      <c r="D12" s="52" t="s">
        <v>145</v>
      </c>
      <c r="E12" s="80">
        <f>50*6500*5*1000/1000000000</f>
        <v>1.625</v>
      </c>
      <c r="F12" s="1114"/>
      <c r="G12" s="52" t="s">
        <v>4326</v>
      </c>
    </row>
    <row r="13" spans="1:7" s="234" customFormat="1" x14ac:dyDescent="0.25">
      <c r="A13" s="234" t="s">
        <v>4442</v>
      </c>
      <c r="B13" s="331" t="s">
        <v>95</v>
      </c>
      <c r="C13" s="234" t="s">
        <v>944</v>
      </c>
      <c r="D13" s="235" t="s">
        <v>146</v>
      </c>
      <c r="E13" s="236">
        <f>50*6500*1000/1000000000</f>
        <v>0.32500000000000001</v>
      </c>
      <c r="F13" s="1116">
        <f>(E13*'Background Data'!V13)/('Background Data'!V24/1000)</f>
        <v>28.024809488292913</v>
      </c>
      <c r="G13" s="239" t="s">
        <v>4327</v>
      </c>
    </row>
    <row r="14" spans="1:7" x14ac:dyDescent="0.25">
      <c r="A14" t="s">
        <v>4443</v>
      </c>
      <c r="B14" s="72" t="s">
        <v>95</v>
      </c>
      <c r="C14" t="s">
        <v>944</v>
      </c>
      <c r="D14" t="s">
        <v>146</v>
      </c>
      <c r="E14" s="237">
        <f>50*6500*1000/1000000000</f>
        <v>0.32500000000000001</v>
      </c>
      <c r="F14" s="1117"/>
      <c r="G14" s="54" t="s">
        <v>4327</v>
      </c>
    </row>
    <row r="15" spans="1:7" x14ac:dyDescent="0.25">
      <c r="A15" t="s">
        <v>4444</v>
      </c>
      <c r="B15" s="72" t="s">
        <v>95</v>
      </c>
      <c r="C15" t="s">
        <v>944</v>
      </c>
      <c r="D15" t="s">
        <v>146</v>
      </c>
      <c r="E15" s="237">
        <f>50*6500*1000/1000000000</f>
        <v>0.32500000000000001</v>
      </c>
      <c r="F15" s="1117"/>
      <c r="G15" s="54" t="s">
        <v>4327</v>
      </c>
    </row>
    <row r="16" spans="1:7" x14ac:dyDescent="0.25">
      <c r="A16" t="s">
        <v>4445</v>
      </c>
      <c r="B16" s="72" t="s">
        <v>95</v>
      </c>
      <c r="C16" t="s">
        <v>944</v>
      </c>
      <c r="D16" s="52" t="s">
        <v>146</v>
      </c>
      <c r="E16" s="237">
        <f>50*6500*1000/1000000000</f>
        <v>0.32500000000000001</v>
      </c>
      <c r="F16" s="1113"/>
      <c r="G16" s="54" t="s">
        <v>4327</v>
      </c>
    </row>
    <row r="17" spans="1:7" x14ac:dyDescent="0.25">
      <c r="A17" t="s">
        <v>4446</v>
      </c>
      <c r="B17" s="72" t="s">
        <v>95</v>
      </c>
      <c r="C17" t="s">
        <v>944</v>
      </c>
      <c r="D17" s="52" t="s">
        <v>146</v>
      </c>
      <c r="E17" s="237">
        <f>50*6500*3*1000/1000000000</f>
        <v>0.97499999999999998</v>
      </c>
      <c r="F17" s="1113">
        <f>(E17*'Background Data'!V14)/('Background Data'!V25/1000)</f>
        <v>36.54432724178583</v>
      </c>
      <c r="G17" s="54" t="s">
        <v>4795</v>
      </c>
    </row>
    <row r="18" spans="1:7" x14ac:dyDescent="0.25">
      <c r="A18" t="s">
        <v>4447</v>
      </c>
      <c r="B18" s="72" t="s">
        <v>95</v>
      </c>
      <c r="C18" t="s">
        <v>944</v>
      </c>
      <c r="D18" s="52" t="s">
        <v>146</v>
      </c>
      <c r="E18" s="237">
        <f>50*6500*3*1000/1000000000</f>
        <v>0.97499999999999998</v>
      </c>
      <c r="F18" s="1113"/>
      <c r="G18" s="54" t="s">
        <v>4328</v>
      </c>
    </row>
    <row r="19" spans="1:7" s="202" customFormat="1" x14ac:dyDescent="0.25">
      <c r="A19" s="202" t="s">
        <v>4448</v>
      </c>
      <c r="B19" s="332" t="s">
        <v>95</v>
      </c>
      <c r="C19" s="202" t="s">
        <v>944</v>
      </c>
      <c r="D19" s="203" t="s">
        <v>146</v>
      </c>
      <c r="E19" s="238">
        <f>50*6500*10*1000/1000000000</f>
        <v>3.25</v>
      </c>
      <c r="F19" s="257">
        <f>(E19*'Background Data'!V15)/('Background Data'!V26/1000)</f>
        <v>4.7096170183554769</v>
      </c>
      <c r="G19" s="240" t="s">
        <v>4329</v>
      </c>
    </row>
    <row r="20" spans="1:7" x14ac:dyDescent="0.25">
      <c r="A20" t="s">
        <v>4449</v>
      </c>
      <c r="B20" s="72" t="s">
        <v>95</v>
      </c>
      <c r="C20" t="s">
        <v>944</v>
      </c>
      <c r="D20" s="52" t="s">
        <v>145</v>
      </c>
      <c r="E20" s="80">
        <f>50*6500*2*1000/1000000000</f>
        <v>0.65</v>
      </c>
      <c r="F20" s="258">
        <f>(E20*'Background Data'!V16)/('Background Data'!V27/1000)</f>
        <v>118.65729997623035</v>
      </c>
      <c r="G20" s="52" t="s">
        <v>4330</v>
      </c>
    </row>
    <row r="21" spans="1:7" x14ac:dyDescent="0.25">
      <c r="A21" t="s">
        <v>4450</v>
      </c>
      <c r="B21" s="72" t="s">
        <v>95</v>
      </c>
      <c r="C21" t="s">
        <v>944</v>
      </c>
      <c r="D21" s="52" t="s">
        <v>145</v>
      </c>
      <c r="E21" s="80">
        <f t="shared" ref="E21:E29" si="0">50*6500*50*1000/1000000000</f>
        <v>16.25</v>
      </c>
      <c r="F21" s="1113">
        <f>(E21*'Background Data'!V17)/('Background Data'!V28/1000)</f>
        <v>29.732197461542675</v>
      </c>
      <c r="G21" s="52" t="s">
        <v>4331</v>
      </c>
    </row>
    <row r="22" spans="1:7" x14ac:dyDescent="0.25">
      <c r="A22" t="s">
        <v>4451</v>
      </c>
      <c r="B22" s="72" t="s">
        <v>95</v>
      </c>
      <c r="C22" t="s">
        <v>944</v>
      </c>
      <c r="D22" s="52" t="s">
        <v>145</v>
      </c>
      <c r="E22" s="80">
        <f t="shared" si="0"/>
        <v>16.25</v>
      </c>
      <c r="F22" s="1113"/>
      <c r="G22" s="52" t="s">
        <v>4331</v>
      </c>
    </row>
    <row r="23" spans="1:7" x14ac:dyDescent="0.25">
      <c r="A23" t="s">
        <v>4452</v>
      </c>
      <c r="B23" s="72" t="s">
        <v>95</v>
      </c>
      <c r="C23" t="s">
        <v>944</v>
      </c>
      <c r="D23" s="52" t="s">
        <v>145</v>
      </c>
      <c r="E23" s="80">
        <f t="shared" si="0"/>
        <v>16.25</v>
      </c>
      <c r="F23" s="1113"/>
      <c r="G23" s="52" t="s">
        <v>4331</v>
      </c>
    </row>
    <row r="24" spans="1:7" x14ac:dyDescent="0.25">
      <c r="A24" t="s">
        <v>4453</v>
      </c>
      <c r="B24" s="72" t="s">
        <v>95</v>
      </c>
      <c r="C24" t="s">
        <v>944</v>
      </c>
      <c r="D24" s="52" t="s">
        <v>145</v>
      </c>
      <c r="E24" s="80">
        <f t="shared" si="0"/>
        <v>16.25</v>
      </c>
      <c r="F24" s="1113">
        <f>(E24*'Background Data'!V18)/('Background Data'!V29/1000)</f>
        <v>23.462807172724084</v>
      </c>
      <c r="G24" s="52" t="s">
        <v>4331</v>
      </c>
    </row>
    <row r="25" spans="1:7" ht="14.45" customHeight="1" x14ac:dyDescent="0.25">
      <c r="A25" t="s">
        <v>4454</v>
      </c>
      <c r="B25" s="72" t="s">
        <v>95</v>
      </c>
      <c r="C25" t="s">
        <v>944</v>
      </c>
      <c r="D25" s="52" t="s">
        <v>145</v>
      </c>
      <c r="E25" s="80">
        <f t="shared" si="0"/>
        <v>16.25</v>
      </c>
      <c r="F25" s="1113"/>
      <c r="G25" s="52" t="s">
        <v>4331</v>
      </c>
    </row>
    <row r="26" spans="1:7" x14ac:dyDescent="0.25">
      <c r="A26" t="s">
        <v>4455</v>
      </c>
      <c r="B26" s="72" t="s">
        <v>95</v>
      </c>
      <c r="C26" t="s">
        <v>944</v>
      </c>
      <c r="D26" s="52" t="s">
        <v>145</v>
      </c>
      <c r="E26" s="80">
        <f t="shared" si="0"/>
        <v>16.25</v>
      </c>
      <c r="F26" s="1113"/>
      <c r="G26" s="52" t="s">
        <v>4331</v>
      </c>
    </row>
    <row r="27" spans="1:7" x14ac:dyDescent="0.25">
      <c r="A27" t="s">
        <v>4456</v>
      </c>
      <c r="B27" s="72" t="s">
        <v>95</v>
      </c>
      <c r="C27" t="s">
        <v>944</v>
      </c>
      <c r="D27" s="52" t="s">
        <v>145</v>
      </c>
      <c r="E27" s="80">
        <f t="shared" si="0"/>
        <v>16.25</v>
      </c>
      <c r="F27" s="1113"/>
      <c r="G27" s="52" t="s">
        <v>4331</v>
      </c>
    </row>
    <row r="28" spans="1:7" x14ac:dyDescent="0.25">
      <c r="A28" t="s">
        <v>4457</v>
      </c>
      <c r="B28" s="72" t="s">
        <v>95</v>
      </c>
      <c r="C28" t="s">
        <v>944</v>
      </c>
      <c r="D28" s="52" t="s">
        <v>145</v>
      </c>
      <c r="E28" s="80">
        <f t="shared" si="0"/>
        <v>16.25</v>
      </c>
      <c r="F28" s="1113">
        <f>(E28*'Background Data'!V19)/('Background Data'!V30/1000)</f>
        <v>19.556303926581954</v>
      </c>
      <c r="G28" s="52" t="s">
        <v>4331</v>
      </c>
    </row>
    <row r="29" spans="1:7" x14ac:dyDescent="0.25">
      <c r="A29" s="202" t="s">
        <v>4458</v>
      </c>
      <c r="B29" s="332" t="s">
        <v>95</v>
      </c>
      <c r="C29" s="202" t="s">
        <v>944</v>
      </c>
      <c r="D29" s="203" t="s">
        <v>145</v>
      </c>
      <c r="E29" s="303">
        <f t="shared" si="0"/>
        <v>16.25</v>
      </c>
      <c r="F29" s="1114"/>
      <c r="G29" s="203" t="s">
        <v>4331</v>
      </c>
    </row>
    <row r="30" spans="1:7" x14ac:dyDescent="0.25">
      <c r="A30" t="s">
        <v>1004</v>
      </c>
      <c r="B30" s="72" t="s">
        <v>95</v>
      </c>
      <c r="C30" t="s">
        <v>944</v>
      </c>
      <c r="D30" s="52" t="s">
        <v>145</v>
      </c>
      <c r="E30" s="80">
        <f t="shared" ref="E30:E40" si="1">50*6500*4*1000/1000000000</f>
        <v>1.3</v>
      </c>
      <c r="F30" s="242"/>
      <c r="G30" s="52" t="s">
        <v>4325</v>
      </c>
    </row>
    <row r="31" spans="1:7" x14ac:dyDescent="0.25">
      <c r="A31" t="s">
        <v>1005</v>
      </c>
      <c r="B31" s="72" t="s">
        <v>95</v>
      </c>
      <c r="C31" t="s">
        <v>944</v>
      </c>
      <c r="D31" s="52" t="s">
        <v>145</v>
      </c>
      <c r="E31" s="80">
        <f t="shared" si="1"/>
        <v>1.3</v>
      </c>
      <c r="F31" s="242"/>
      <c r="G31" s="52" t="s">
        <v>4325</v>
      </c>
    </row>
    <row r="32" spans="1:7" x14ac:dyDescent="0.25">
      <c r="A32" t="s">
        <v>1006</v>
      </c>
      <c r="B32" s="72" t="s">
        <v>95</v>
      </c>
      <c r="C32" t="s">
        <v>944</v>
      </c>
      <c r="D32" s="52" t="s">
        <v>145</v>
      </c>
      <c r="E32" s="80">
        <f t="shared" si="1"/>
        <v>1.3</v>
      </c>
      <c r="G32" s="52" t="s">
        <v>4325</v>
      </c>
    </row>
    <row r="33" spans="1:7" x14ac:dyDescent="0.25">
      <c r="A33" t="s">
        <v>1007</v>
      </c>
      <c r="B33" s="72" t="s">
        <v>95</v>
      </c>
      <c r="C33" t="s">
        <v>944</v>
      </c>
      <c r="D33" s="52" t="s">
        <v>145</v>
      </c>
      <c r="E33" s="80">
        <f t="shared" si="1"/>
        <v>1.3</v>
      </c>
      <c r="G33" s="52" t="s">
        <v>4325</v>
      </c>
    </row>
    <row r="34" spans="1:7" x14ac:dyDescent="0.25">
      <c r="A34" t="s">
        <v>4390</v>
      </c>
      <c r="B34" s="72" t="s">
        <v>95</v>
      </c>
      <c r="C34" t="s">
        <v>944</v>
      </c>
      <c r="D34" s="52" t="s">
        <v>145</v>
      </c>
      <c r="E34" s="80">
        <f t="shared" si="1"/>
        <v>1.3</v>
      </c>
      <c r="G34" s="52" t="s">
        <v>4325</v>
      </c>
    </row>
    <row r="35" spans="1:7" x14ac:dyDescent="0.25">
      <c r="A35" t="s">
        <v>1009</v>
      </c>
      <c r="B35" s="72" t="s">
        <v>95</v>
      </c>
      <c r="C35" t="s">
        <v>944</v>
      </c>
      <c r="D35" s="52" t="s">
        <v>145</v>
      </c>
      <c r="E35" s="80">
        <f t="shared" si="1"/>
        <v>1.3</v>
      </c>
      <c r="G35" s="52" t="s">
        <v>4325</v>
      </c>
    </row>
    <row r="36" spans="1:7" ht="15" customHeight="1" x14ac:dyDescent="0.25">
      <c r="A36" t="s">
        <v>4395</v>
      </c>
      <c r="B36" s="72" t="s">
        <v>95</v>
      </c>
      <c r="C36" t="s">
        <v>944</v>
      </c>
      <c r="D36" s="52" t="s">
        <v>145</v>
      </c>
      <c r="E36" s="80">
        <f t="shared" si="1"/>
        <v>1.3</v>
      </c>
      <c r="G36" s="52" t="s">
        <v>4325</v>
      </c>
    </row>
    <row r="37" spans="1:7" x14ac:dyDescent="0.25">
      <c r="A37" t="s">
        <v>1010</v>
      </c>
      <c r="B37" s="72" t="s">
        <v>95</v>
      </c>
      <c r="C37" t="s">
        <v>944</v>
      </c>
      <c r="D37" s="52" t="s">
        <v>145</v>
      </c>
      <c r="E37" s="80">
        <f t="shared" si="1"/>
        <v>1.3</v>
      </c>
      <c r="G37" s="52" t="s">
        <v>4325</v>
      </c>
    </row>
    <row r="38" spans="1:7" x14ac:dyDescent="0.25">
      <c r="A38" t="s">
        <v>1011</v>
      </c>
      <c r="B38" s="72" t="s">
        <v>95</v>
      </c>
      <c r="C38" t="s">
        <v>944</v>
      </c>
      <c r="D38" s="52" t="s">
        <v>145</v>
      </c>
      <c r="E38" s="80">
        <f t="shared" si="1"/>
        <v>1.3</v>
      </c>
      <c r="G38" s="52" t="s">
        <v>4325</v>
      </c>
    </row>
    <row r="39" spans="1:7" x14ac:dyDescent="0.25">
      <c r="A39" t="s">
        <v>1012</v>
      </c>
      <c r="B39" s="72" t="s">
        <v>95</v>
      </c>
      <c r="C39" t="s">
        <v>944</v>
      </c>
      <c r="D39" s="52" t="s">
        <v>145</v>
      </c>
      <c r="E39" s="80">
        <f t="shared" si="1"/>
        <v>1.3</v>
      </c>
      <c r="G39" s="52" t="s">
        <v>4325</v>
      </c>
    </row>
    <row r="40" spans="1:7" s="202" customFormat="1" x14ac:dyDescent="0.25">
      <c r="A40" s="202" t="s">
        <v>4420</v>
      </c>
      <c r="B40" s="332" t="s">
        <v>95</v>
      </c>
      <c r="C40" s="202" t="s">
        <v>944</v>
      </c>
      <c r="D40" s="203" t="s">
        <v>145</v>
      </c>
      <c r="E40" s="303">
        <f t="shared" si="1"/>
        <v>1.3</v>
      </c>
      <c r="F40" s="910"/>
      <c r="G40" s="203" t="s">
        <v>4325</v>
      </c>
    </row>
    <row r="41" spans="1:7" x14ac:dyDescent="0.25">
      <c r="A41" t="s">
        <v>1014</v>
      </c>
      <c r="B41" s="72" t="s">
        <v>95</v>
      </c>
      <c r="C41" t="s">
        <v>944</v>
      </c>
      <c r="D41" s="52" t="s">
        <v>145</v>
      </c>
      <c r="E41" s="80">
        <f t="shared" ref="E41:E51" si="2">50*6500*5*1000/1000000000</f>
        <v>1.625</v>
      </c>
      <c r="G41" s="52" t="s">
        <v>4326</v>
      </c>
    </row>
    <row r="42" spans="1:7" x14ac:dyDescent="0.25">
      <c r="A42" t="s">
        <v>1015</v>
      </c>
      <c r="B42" s="72" t="s">
        <v>95</v>
      </c>
      <c r="C42" t="s">
        <v>944</v>
      </c>
      <c r="D42" s="52" t="s">
        <v>145</v>
      </c>
      <c r="E42" s="80">
        <f t="shared" si="2"/>
        <v>1.625</v>
      </c>
      <c r="G42" s="52" t="s">
        <v>4326</v>
      </c>
    </row>
    <row r="43" spans="1:7" x14ac:dyDescent="0.25">
      <c r="A43" t="s">
        <v>1016</v>
      </c>
      <c r="B43" s="72" t="s">
        <v>95</v>
      </c>
      <c r="C43" t="s">
        <v>944</v>
      </c>
      <c r="D43" s="52" t="s">
        <v>145</v>
      </c>
      <c r="E43" s="80">
        <f t="shared" si="2"/>
        <v>1.625</v>
      </c>
      <c r="G43" s="52" t="s">
        <v>4326</v>
      </c>
    </row>
    <row r="44" spans="1:7" x14ac:dyDescent="0.25">
      <c r="A44" t="s">
        <v>1017</v>
      </c>
      <c r="B44" s="72" t="s">
        <v>95</v>
      </c>
      <c r="C44" t="s">
        <v>944</v>
      </c>
      <c r="D44" s="52" t="s">
        <v>145</v>
      </c>
      <c r="E44" s="80">
        <f t="shared" si="2"/>
        <v>1.625</v>
      </c>
      <c r="G44" s="52" t="s">
        <v>4326</v>
      </c>
    </row>
    <row r="45" spans="1:7" x14ac:dyDescent="0.25">
      <c r="A45" t="s">
        <v>4391</v>
      </c>
      <c r="B45" s="72" t="s">
        <v>95</v>
      </c>
      <c r="C45" t="s">
        <v>944</v>
      </c>
      <c r="D45" s="52" t="s">
        <v>145</v>
      </c>
      <c r="E45" s="80">
        <f t="shared" si="2"/>
        <v>1.625</v>
      </c>
      <c r="G45" s="52" t="s">
        <v>4326</v>
      </c>
    </row>
    <row r="46" spans="1:7" x14ac:dyDescent="0.25">
      <c r="A46" t="s">
        <v>1019</v>
      </c>
      <c r="B46" s="72" t="s">
        <v>95</v>
      </c>
      <c r="C46" t="s">
        <v>944</v>
      </c>
      <c r="D46" s="52" t="s">
        <v>145</v>
      </c>
      <c r="E46" s="80">
        <f t="shared" si="2"/>
        <v>1.625</v>
      </c>
      <c r="G46" s="52" t="s">
        <v>4326</v>
      </c>
    </row>
    <row r="47" spans="1:7" x14ac:dyDescent="0.25">
      <c r="A47" t="s">
        <v>4396</v>
      </c>
      <c r="B47" s="72" t="s">
        <v>95</v>
      </c>
      <c r="C47" t="s">
        <v>944</v>
      </c>
      <c r="D47" s="52" t="s">
        <v>145</v>
      </c>
      <c r="E47" s="80">
        <f t="shared" si="2"/>
        <v>1.625</v>
      </c>
      <c r="G47" s="52" t="s">
        <v>4326</v>
      </c>
    </row>
    <row r="48" spans="1:7" x14ac:dyDescent="0.25">
      <c r="A48" t="s">
        <v>1020</v>
      </c>
      <c r="B48" s="72" t="s">
        <v>95</v>
      </c>
      <c r="C48" t="s">
        <v>944</v>
      </c>
      <c r="D48" s="52" t="s">
        <v>145</v>
      </c>
      <c r="E48" s="80">
        <f t="shared" si="2"/>
        <v>1.625</v>
      </c>
      <c r="G48" s="52" t="s">
        <v>4326</v>
      </c>
    </row>
    <row r="49" spans="1:7" x14ac:dyDescent="0.25">
      <c r="A49" t="s">
        <v>1021</v>
      </c>
      <c r="B49" s="72" t="s">
        <v>95</v>
      </c>
      <c r="C49" t="s">
        <v>944</v>
      </c>
      <c r="D49" s="52" t="s">
        <v>145</v>
      </c>
      <c r="E49" s="80">
        <f t="shared" si="2"/>
        <v>1.625</v>
      </c>
      <c r="G49" s="52" t="s">
        <v>4326</v>
      </c>
    </row>
    <row r="50" spans="1:7" x14ac:dyDescent="0.25">
      <c r="A50" t="s">
        <v>1022</v>
      </c>
      <c r="B50" s="72" t="s">
        <v>95</v>
      </c>
      <c r="C50" t="s">
        <v>944</v>
      </c>
      <c r="D50" s="52" t="s">
        <v>145</v>
      </c>
      <c r="E50" s="80">
        <f t="shared" si="2"/>
        <v>1.625</v>
      </c>
      <c r="G50" s="52" t="s">
        <v>4326</v>
      </c>
    </row>
    <row r="51" spans="1:7" s="202" customFormat="1" x14ac:dyDescent="0.25">
      <c r="A51" s="202" t="s">
        <v>4421</v>
      </c>
      <c r="B51" s="332" t="s">
        <v>95</v>
      </c>
      <c r="C51" s="202" t="s">
        <v>944</v>
      </c>
      <c r="D51" s="203" t="s">
        <v>145</v>
      </c>
      <c r="E51" s="303">
        <f t="shared" si="2"/>
        <v>1.625</v>
      </c>
      <c r="F51" s="910"/>
      <c r="G51" s="203" t="s">
        <v>4326</v>
      </c>
    </row>
    <row r="52" spans="1:7" x14ac:dyDescent="0.25">
      <c r="A52" t="s">
        <v>1033</v>
      </c>
      <c r="B52" s="72" t="s">
        <v>95</v>
      </c>
      <c r="C52" t="s">
        <v>944</v>
      </c>
      <c r="D52" t="s">
        <v>146</v>
      </c>
      <c r="E52" s="237">
        <f t="shared" ref="E52:E62" si="3">50*6500*1000/1000000000</f>
        <v>0.32500000000000001</v>
      </c>
      <c r="G52" s="54" t="s">
        <v>4327</v>
      </c>
    </row>
    <row r="53" spans="1:7" x14ac:dyDescent="0.25">
      <c r="A53" t="s">
        <v>1034</v>
      </c>
      <c r="B53" s="72" t="s">
        <v>95</v>
      </c>
      <c r="C53" t="s">
        <v>944</v>
      </c>
      <c r="D53" t="s">
        <v>146</v>
      </c>
      <c r="E53" s="237">
        <f t="shared" si="3"/>
        <v>0.32500000000000001</v>
      </c>
      <c r="G53" s="54" t="s">
        <v>4327</v>
      </c>
    </row>
    <row r="54" spans="1:7" x14ac:dyDescent="0.25">
      <c r="A54" t="s">
        <v>1035</v>
      </c>
      <c r="B54" s="72" t="s">
        <v>95</v>
      </c>
      <c r="C54" t="s">
        <v>944</v>
      </c>
      <c r="D54" t="s">
        <v>146</v>
      </c>
      <c r="E54" s="237">
        <f t="shared" si="3"/>
        <v>0.32500000000000001</v>
      </c>
      <c r="G54" s="54" t="s">
        <v>4327</v>
      </c>
    </row>
    <row r="55" spans="1:7" x14ac:dyDescent="0.25">
      <c r="A55" t="s">
        <v>1036</v>
      </c>
      <c r="B55" s="72" t="s">
        <v>95</v>
      </c>
      <c r="C55" t="s">
        <v>944</v>
      </c>
      <c r="D55" t="s">
        <v>146</v>
      </c>
      <c r="E55" s="237">
        <f t="shared" si="3"/>
        <v>0.32500000000000001</v>
      </c>
      <c r="G55" s="54" t="s">
        <v>4327</v>
      </c>
    </row>
    <row r="56" spans="1:7" x14ac:dyDescent="0.25">
      <c r="A56" t="s">
        <v>4392</v>
      </c>
      <c r="B56" s="72" t="s">
        <v>95</v>
      </c>
      <c r="C56" t="s">
        <v>944</v>
      </c>
      <c r="D56" t="s">
        <v>146</v>
      </c>
      <c r="E56" s="237">
        <f t="shared" si="3"/>
        <v>0.32500000000000001</v>
      </c>
      <c r="G56" s="54" t="s">
        <v>4327</v>
      </c>
    </row>
    <row r="57" spans="1:7" x14ac:dyDescent="0.25">
      <c r="A57" t="s">
        <v>1037</v>
      </c>
      <c r="B57" s="72" t="s">
        <v>95</v>
      </c>
      <c r="C57" t="s">
        <v>944</v>
      </c>
      <c r="D57" t="s">
        <v>146</v>
      </c>
      <c r="E57" s="237">
        <f t="shared" si="3"/>
        <v>0.32500000000000001</v>
      </c>
      <c r="G57" s="54" t="s">
        <v>4327</v>
      </c>
    </row>
    <row r="58" spans="1:7" x14ac:dyDescent="0.25">
      <c r="A58" t="s">
        <v>4397</v>
      </c>
      <c r="B58" s="72" t="s">
        <v>95</v>
      </c>
      <c r="C58" t="s">
        <v>944</v>
      </c>
      <c r="D58" t="s">
        <v>146</v>
      </c>
      <c r="E58" s="237">
        <f t="shared" si="3"/>
        <v>0.32500000000000001</v>
      </c>
      <c r="G58" s="54" t="s">
        <v>4327</v>
      </c>
    </row>
    <row r="59" spans="1:7" x14ac:dyDescent="0.25">
      <c r="A59" t="s">
        <v>1038</v>
      </c>
      <c r="B59" s="72" t="s">
        <v>95</v>
      </c>
      <c r="C59" t="s">
        <v>944</v>
      </c>
      <c r="D59" t="s">
        <v>146</v>
      </c>
      <c r="E59" s="237">
        <f t="shared" si="3"/>
        <v>0.32500000000000001</v>
      </c>
      <c r="G59" s="54" t="s">
        <v>4327</v>
      </c>
    </row>
    <row r="60" spans="1:7" x14ac:dyDescent="0.25">
      <c r="A60" t="s">
        <v>1039</v>
      </c>
      <c r="B60" s="72" t="s">
        <v>95</v>
      </c>
      <c r="C60" t="s">
        <v>944</v>
      </c>
      <c r="D60" t="s">
        <v>146</v>
      </c>
      <c r="E60" s="237">
        <f t="shared" si="3"/>
        <v>0.32500000000000001</v>
      </c>
      <c r="G60" s="54" t="s">
        <v>4327</v>
      </c>
    </row>
    <row r="61" spans="1:7" x14ac:dyDescent="0.25">
      <c r="A61" t="s">
        <v>1040</v>
      </c>
      <c r="B61" s="72" t="s">
        <v>95</v>
      </c>
      <c r="C61" t="s">
        <v>944</v>
      </c>
      <c r="D61" t="s">
        <v>146</v>
      </c>
      <c r="E61" s="237">
        <f t="shared" si="3"/>
        <v>0.32500000000000001</v>
      </c>
      <c r="G61" s="54" t="s">
        <v>4327</v>
      </c>
    </row>
    <row r="62" spans="1:7" s="202" customFormat="1" x14ac:dyDescent="0.25">
      <c r="A62" s="202" t="s">
        <v>4422</v>
      </c>
      <c r="B62" s="332" t="s">
        <v>95</v>
      </c>
      <c r="C62" s="202" t="s">
        <v>944</v>
      </c>
      <c r="D62" s="202" t="s">
        <v>146</v>
      </c>
      <c r="E62" s="238">
        <f t="shared" si="3"/>
        <v>0.32500000000000001</v>
      </c>
      <c r="F62" s="910"/>
      <c r="G62" s="240" t="s">
        <v>4327</v>
      </c>
    </row>
    <row r="63" spans="1:7" x14ac:dyDescent="0.25">
      <c r="A63" t="s">
        <v>1024</v>
      </c>
      <c r="B63" s="72" t="s">
        <v>95</v>
      </c>
      <c r="C63" t="s">
        <v>944</v>
      </c>
      <c r="D63" s="52" t="s">
        <v>146</v>
      </c>
      <c r="E63" s="237">
        <f>50*6500*3*1000/1000000000</f>
        <v>0.97499999999999998</v>
      </c>
      <c r="G63" s="54" t="s">
        <v>4795</v>
      </c>
    </row>
    <row r="64" spans="1:7" x14ac:dyDescent="0.25">
      <c r="A64" t="s">
        <v>1041</v>
      </c>
      <c r="B64" s="72" t="s">
        <v>95</v>
      </c>
      <c r="C64" t="s">
        <v>944</v>
      </c>
      <c r="D64" s="52" t="s">
        <v>146</v>
      </c>
      <c r="E64" s="237">
        <f t="shared" ref="E64:E69" si="4">50*6500*3*1000/1000000000</f>
        <v>0.97499999999999998</v>
      </c>
      <c r="G64" s="54" t="s">
        <v>4328</v>
      </c>
    </row>
    <row r="65" spans="1:7" x14ac:dyDescent="0.25">
      <c r="A65" t="s">
        <v>1043</v>
      </c>
      <c r="B65" s="72" t="s">
        <v>95</v>
      </c>
      <c r="C65" t="s">
        <v>944</v>
      </c>
      <c r="D65" s="52" t="s">
        <v>146</v>
      </c>
      <c r="E65" s="237">
        <f t="shared" si="4"/>
        <v>0.97499999999999998</v>
      </c>
      <c r="G65" s="54" t="s">
        <v>4328</v>
      </c>
    </row>
    <row r="66" spans="1:7" x14ac:dyDescent="0.25">
      <c r="A66" t="s">
        <v>1044</v>
      </c>
      <c r="B66" s="72" t="s">
        <v>95</v>
      </c>
      <c r="C66" t="s">
        <v>944</v>
      </c>
      <c r="D66" s="52" t="s">
        <v>146</v>
      </c>
      <c r="E66" s="237">
        <f t="shared" si="4"/>
        <v>0.97499999999999998</v>
      </c>
      <c r="G66" s="54" t="s">
        <v>4328</v>
      </c>
    </row>
    <row r="67" spans="1:7" x14ac:dyDescent="0.25">
      <c r="A67" t="s">
        <v>1071</v>
      </c>
      <c r="B67" s="72" t="s">
        <v>95</v>
      </c>
      <c r="C67" t="s">
        <v>944</v>
      </c>
      <c r="D67" s="52" t="s">
        <v>146</v>
      </c>
      <c r="E67" s="237">
        <f t="shared" si="4"/>
        <v>0.97499999999999998</v>
      </c>
      <c r="G67" s="54" t="s">
        <v>4328</v>
      </c>
    </row>
    <row r="68" spans="1:7" x14ac:dyDescent="0.25">
      <c r="A68" t="s">
        <v>1072</v>
      </c>
      <c r="B68" s="72" t="s">
        <v>95</v>
      </c>
      <c r="C68" t="s">
        <v>944</v>
      </c>
      <c r="D68" s="52" t="s">
        <v>146</v>
      </c>
      <c r="E68" s="237">
        <f t="shared" si="4"/>
        <v>0.97499999999999998</v>
      </c>
      <c r="G68" s="54" t="s">
        <v>4328</v>
      </c>
    </row>
    <row r="69" spans="1:7" s="202" customFormat="1" x14ac:dyDescent="0.25">
      <c r="A69" s="202" t="s">
        <v>1073</v>
      </c>
      <c r="B69" s="332" t="s">
        <v>95</v>
      </c>
      <c r="C69" s="202" t="s">
        <v>944</v>
      </c>
      <c r="D69" s="203" t="s">
        <v>146</v>
      </c>
      <c r="E69" s="238">
        <f t="shared" si="4"/>
        <v>0.97499999999999998</v>
      </c>
      <c r="F69" s="910"/>
      <c r="G69" s="240" t="s">
        <v>4328</v>
      </c>
    </row>
    <row r="70" spans="1:7" x14ac:dyDescent="0.25">
      <c r="A70" t="s">
        <v>1074</v>
      </c>
      <c r="B70" s="72" t="s">
        <v>95</v>
      </c>
      <c r="C70" t="s">
        <v>944</v>
      </c>
      <c r="D70" s="52" t="s">
        <v>146</v>
      </c>
      <c r="E70" s="325">
        <f t="shared" ref="E70:E75" si="5">50*6500*10*1000/1000000000</f>
        <v>3.25</v>
      </c>
      <c r="F70" s="333"/>
      <c r="G70" s="52" t="s">
        <v>4329</v>
      </c>
    </row>
    <row r="71" spans="1:7" x14ac:dyDescent="0.25">
      <c r="A71" t="s">
        <v>1075</v>
      </c>
      <c r="B71" s="72" t="s">
        <v>95</v>
      </c>
      <c r="C71" t="s">
        <v>944</v>
      </c>
      <c r="D71" s="52" t="s">
        <v>146</v>
      </c>
      <c r="E71" s="325">
        <f t="shared" si="5"/>
        <v>3.25</v>
      </c>
      <c r="G71" s="52" t="s">
        <v>4329</v>
      </c>
    </row>
    <row r="72" spans="1:7" x14ac:dyDescent="0.25">
      <c r="A72" t="s">
        <v>1076</v>
      </c>
      <c r="B72" s="72" t="s">
        <v>95</v>
      </c>
      <c r="C72" t="s">
        <v>944</v>
      </c>
      <c r="D72" s="52" t="s">
        <v>146</v>
      </c>
      <c r="E72" s="325">
        <f t="shared" si="5"/>
        <v>3.25</v>
      </c>
      <c r="G72" s="52" t="s">
        <v>4329</v>
      </c>
    </row>
    <row r="73" spans="1:7" x14ac:dyDescent="0.25">
      <c r="A73" t="s">
        <v>1077</v>
      </c>
      <c r="B73" s="72" t="s">
        <v>95</v>
      </c>
      <c r="C73" t="s">
        <v>944</v>
      </c>
      <c r="D73" s="52" t="s">
        <v>146</v>
      </c>
      <c r="E73" s="325">
        <f t="shared" si="5"/>
        <v>3.25</v>
      </c>
      <c r="G73" s="52" t="s">
        <v>4329</v>
      </c>
    </row>
    <row r="74" spans="1:7" x14ac:dyDescent="0.25">
      <c r="A74" t="s">
        <v>1078</v>
      </c>
      <c r="B74" s="72" t="s">
        <v>95</v>
      </c>
      <c r="C74" t="s">
        <v>944</v>
      </c>
      <c r="D74" s="52" t="s">
        <v>146</v>
      </c>
      <c r="E74" s="325">
        <f t="shared" si="5"/>
        <v>3.25</v>
      </c>
      <c r="G74" s="52" t="s">
        <v>4329</v>
      </c>
    </row>
    <row r="75" spans="1:7" s="202" customFormat="1" x14ac:dyDescent="0.25">
      <c r="A75" s="202" t="s">
        <v>1079</v>
      </c>
      <c r="B75" s="332" t="s">
        <v>95</v>
      </c>
      <c r="C75" s="202" t="s">
        <v>944</v>
      </c>
      <c r="D75" s="203" t="s">
        <v>146</v>
      </c>
      <c r="E75" s="911">
        <f t="shared" si="5"/>
        <v>3.25</v>
      </c>
      <c r="F75" s="910"/>
      <c r="G75" s="203" t="s">
        <v>4329</v>
      </c>
    </row>
    <row r="76" spans="1:7" x14ac:dyDescent="0.25">
      <c r="A76" t="s">
        <v>1081</v>
      </c>
      <c r="B76" s="72" t="s">
        <v>95</v>
      </c>
      <c r="C76" t="s">
        <v>944</v>
      </c>
      <c r="D76" s="52" t="s">
        <v>145</v>
      </c>
      <c r="E76" s="325">
        <f>50*6500*2*1000/1000000000</f>
        <v>0.65</v>
      </c>
      <c r="G76" s="52" t="s">
        <v>4330</v>
      </c>
    </row>
    <row r="77" spans="1:7" s="202" customFormat="1" x14ac:dyDescent="0.25">
      <c r="A77" s="202" t="s">
        <v>1082</v>
      </c>
      <c r="B77" s="332" t="s">
        <v>95</v>
      </c>
      <c r="C77" s="202" t="s">
        <v>944</v>
      </c>
      <c r="D77" s="203" t="s">
        <v>145</v>
      </c>
      <c r="E77" s="911">
        <f>50*6500*2*1000/1000000000</f>
        <v>0.65</v>
      </c>
      <c r="F77" s="910"/>
      <c r="G77" s="203" t="s">
        <v>4330</v>
      </c>
    </row>
    <row r="78" spans="1:7" x14ac:dyDescent="0.25">
      <c r="A78" t="s">
        <v>1094</v>
      </c>
      <c r="B78" s="72" t="s">
        <v>95</v>
      </c>
      <c r="C78" t="s">
        <v>944</v>
      </c>
      <c r="D78" s="52" t="s">
        <v>145</v>
      </c>
      <c r="E78" s="80">
        <f t="shared" ref="E78:E98" si="6">50*6500*50*1000/1000000000</f>
        <v>16.25</v>
      </c>
      <c r="G78" s="52" t="s">
        <v>4331</v>
      </c>
    </row>
    <row r="79" spans="1:7" x14ac:dyDescent="0.25">
      <c r="A79" t="s">
        <v>1095</v>
      </c>
      <c r="B79" s="72" t="s">
        <v>95</v>
      </c>
      <c r="C79" t="s">
        <v>944</v>
      </c>
      <c r="D79" s="52" t="s">
        <v>145</v>
      </c>
      <c r="E79" s="80">
        <f t="shared" si="6"/>
        <v>16.25</v>
      </c>
      <c r="G79" s="52" t="s">
        <v>4331</v>
      </c>
    </row>
    <row r="80" spans="1:7" x14ac:dyDescent="0.25">
      <c r="A80" t="s">
        <v>1096</v>
      </c>
      <c r="B80" s="72" t="s">
        <v>95</v>
      </c>
      <c r="C80" t="s">
        <v>944</v>
      </c>
      <c r="D80" s="52" t="s">
        <v>145</v>
      </c>
      <c r="E80" s="80">
        <f t="shared" si="6"/>
        <v>16.25</v>
      </c>
      <c r="G80" s="52" t="s">
        <v>4331</v>
      </c>
    </row>
    <row r="81" spans="1:7" x14ac:dyDescent="0.25">
      <c r="A81" t="s">
        <v>1097</v>
      </c>
      <c r="B81" s="72" t="s">
        <v>95</v>
      </c>
      <c r="C81" t="s">
        <v>944</v>
      </c>
      <c r="D81" s="52" t="s">
        <v>145</v>
      </c>
      <c r="E81" s="80">
        <f t="shared" si="6"/>
        <v>16.25</v>
      </c>
      <c r="G81" s="52" t="s">
        <v>4331</v>
      </c>
    </row>
    <row r="82" spans="1:7" x14ac:dyDescent="0.25">
      <c r="A82" t="s">
        <v>1098</v>
      </c>
      <c r="B82" s="72" t="s">
        <v>95</v>
      </c>
      <c r="C82" t="s">
        <v>944</v>
      </c>
      <c r="D82" s="52" t="s">
        <v>145</v>
      </c>
      <c r="E82" s="80">
        <f t="shared" si="6"/>
        <v>16.25</v>
      </c>
      <c r="G82" s="52" t="s">
        <v>4331</v>
      </c>
    </row>
    <row r="83" spans="1:7" x14ac:dyDescent="0.25">
      <c r="A83" t="s">
        <v>1099</v>
      </c>
      <c r="B83" s="72" t="s">
        <v>95</v>
      </c>
      <c r="C83" t="s">
        <v>944</v>
      </c>
      <c r="D83" s="52" t="s">
        <v>145</v>
      </c>
      <c r="E83" s="80">
        <f t="shared" si="6"/>
        <v>16.25</v>
      </c>
      <c r="G83" s="52" t="s">
        <v>4331</v>
      </c>
    </row>
    <row r="84" spans="1:7" x14ac:dyDescent="0.25">
      <c r="A84" t="s">
        <v>1100</v>
      </c>
      <c r="B84" s="72" t="s">
        <v>95</v>
      </c>
      <c r="C84" t="s">
        <v>944</v>
      </c>
      <c r="D84" s="52" t="s">
        <v>145</v>
      </c>
      <c r="E84" s="80">
        <f t="shared" si="6"/>
        <v>16.25</v>
      </c>
      <c r="G84" s="52" t="s">
        <v>4331</v>
      </c>
    </row>
    <row r="85" spans="1:7" x14ac:dyDescent="0.25">
      <c r="A85" t="s">
        <v>1101</v>
      </c>
      <c r="B85" s="72" t="s">
        <v>95</v>
      </c>
      <c r="C85" t="s">
        <v>944</v>
      </c>
      <c r="D85" s="52" t="s">
        <v>145</v>
      </c>
      <c r="E85" s="80">
        <f t="shared" si="6"/>
        <v>16.25</v>
      </c>
      <c r="G85" s="52" t="s">
        <v>4331</v>
      </c>
    </row>
    <row r="86" spans="1:7" x14ac:dyDescent="0.25">
      <c r="A86" t="s">
        <v>1102</v>
      </c>
      <c r="B86" s="72" t="s">
        <v>95</v>
      </c>
      <c r="C86" t="s">
        <v>944</v>
      </c>
      <c r="D86" s="52" t="s">
        <v>145</v>
      </c>
      <c r="E86" s="80">
        <f t="shared" si="6"/>
        <v>16.25</v>
      </c>
      <c r="G86" s="52" t="s">
        <v>4331</v>
      </c>
    </row>
    <row r="87" spans="1:7" x14ac:dyDescent="0.25">
      <c r="A87" t="s">
        <v>1103</v>
      </c>
      <c r="B87" s="72" t="s">
        <v>95</v>
      </c>
      <c r="C87" t="s">
        <v>944</v>
      </c>
      <c r="D87" s="52" t="s">
        <v>145</v>
      </c>
      <c r="E87" s="80">
        <f t="shared" si="6"/>
        <v>16.25</v>
      </c>
      <c r="G87" s="52" t="s">
        <v>4331</v>
      </c>
    </row>
    <row r="88" spans="1:7" x14ac:dyDescent="0.25">
      <c r="A88" t="s">
        <v>1104</v>
      </c>
      <c r="B88" s="72" t="s">
        <v>95</v>
      </c>
      <c r="C88" t="s">
        <v>944</v>
      </c>
      <c r="D88" s="52" t="s">
        <v>145</v>
      </c>
      <c r="E88" s="80">
        <f t="shared" si="6"/>
        <v>16.25</v>
      </c>
      <c r="G88" s="52" t="s">
        <v>4331</v>
      </c>
    </row>
    <row r="89" spans="1:7" x14ac:dyDescent="0.25">
      <c r="A89" t="s">
        <v>1105</v>
      </c>
      <c r="B89" s="72" t="s">
        <v>95</v>
      </c>
      <c r="C89" t="s">
        <v>944</v>
      </c>
      <c r="D89" s="52" t="s">
        <v>145</v>
      </c>
      <c r="E89" s="80">
        <f t="shared" si="6"/>
        <v>16.25</v>
      </c>
      <c r="G89" s="52" t="s">
        <v>4331</v>
      </c>
    </row>
    <row r="90" spans="1:7" x14ac:dyDescent="0.25">
      <c r="A90" t="s">
        <v>1106</v>
      </c>
      <c r="B90" s="72" t="s">
        <v>95</v>
      </c>
      <c r="C90" t="s">
        <v>944</v>
      </c>
      <c r="D90" s="52" t="s">
        <v>145</v>
      </c>
      <c r="E90" s="80">
        <f t="shared" si="6"/>
        <v>16.25</v>
      </c>
      <c r="G90" s="52" t="s">
        <v>4331</v>
      </c>
    </row>
    <row r="91" spans="1:7" x14ac:dyDescent="0.25">
      <c r="A91" t="s">
        <v>1107</v>
      </c>
      <c r="B91" s="72" t="s">
        <v>95</v>
      </c>
      <c r="C91" t="s">
        <v>944</v>
      </c>
      <c r="D91" s="52" t="s">
        <v>145</v>
      </c>
      <c r="E91" s="80">
        <f t="shared" si="6"/>
        <v>16.25</v>
      </c>
      <c r="G91" s="52" t="s">
        <v>4331</v>
      </c>
    </row>
    <row r="92" spans="1:7" x14ac:dyDescent="0.25">
      <c r="A92" t="s">
        <v>1108</v>
      </c>
      <c r="B92" s="72" t="s">
        <v>95</v>
      </c>
      <c r="C92" t="s">
        <v>944</v>
      </c>
      <c r="D92" s="52" t="s">
        <v>145</v>
      </c>
      <c r="E92" s="80">
        <f t="shared" si="6"/>
        <v>16.25</v>
      </c>
      <c r="G92" s="52" t="s">
        <v>4331</v>
      </c>
    </row>
    <row r="93" spans="1:7" x14ac:dyDescent="0.25">
      <c r="A93" t="s">
        <v>1109</v>
      </c>
      <c r="B93" s="72" t="s">
        <v>95</v>
      </c>
      <c r="C93" t="s">
        <v>944</v>
      </c>
      <c r="D93" s="52" t="s">
        <v>145</v>
      </c>
      <c r="E93" s="80">
        <f t="shared" si="6"/>
        <v>16.25</v>
      </c>
      <c r="G93" s="52" t="s">
        <v>4331</v>
      </c>
    </row>
    <row r="94" spans="1:7" x14ac:dyDescent="0.25">
      <c r="A94" t="s">
        <v>1110</v>
      </c>
      <c r="B94" s="72" t="s">
        <v>95</v>
      </c>
      <c r="C94" t="s">
        <v>944</v>
      </c>
      <c r="D94" s="52" t="s">
        <v>145</v>
      </c>
      <c r="E94" s="80">
        <f t="shared" si="6"/>
        <v>16.25</v>
      </c>
      <c r="G94" s="52" t="s">
        <v>4331</v>
      </c>
    </row>
    <row r="95" spans="1:7" x14ac:dyDescent="0.25">
      <c r="A95" t="s">
        <v>1111</v>
      </c>
      <c r="B95" s="72" t="s">
        <v>95</v>
      </c>
      <c r="C95" t="s">
        <v>944</v>
      </c>
      <c r="D95" s="52" t="s">
        <v>145</v>
      </c>
      <c r="E95" s="80">
        <f t="shared" si="6"/>
        <v>16.25</v>
      </c>
      <c r="G95" s="52" t="s">
        <v>4331</v>
      </c>
    </row>
    <row r="96" spans="1:7" x14ac:dyDescent="0.25">
      <c r="A96" t="s">
        <v>1112</v>
      </c>
      <c r="B96" s="72" t="s">
        <v>95</v>
      </c>
      <c r="C96" t="s">
        <v>944</v>
      </c>
      <c r="D96" s="52" t="s">
        <v>145</v>
      </c>
      <c r="E96" s="80">
        <f t="shared" si="6"/>
        <v>16.25</v>
      </c>
      <c r="G96" s="52" t="s">
        <v>4331</v>
      </c>
    </row>
    <row r="97" spans="1:7" x14ac:dyDescent="0.25">
      <c r="A97" t="s">
        <v>1113</v>
      </c>
      <c r="B97" s="72" t="s">
        <v>95</v>
      </c>
      <c r="C97" t="s">
        <v>944</v>
      </c>
      <c r="D97" s="52" t="s">
        <v>145</v>
      </c>
      <c r="E97" s="80">
        <f t="shared" si="6"/>
        <v>16.25</v>
      </c>
      <c r="G97" s="52" t="s">
        <v>4331</v>
      </c>
    </row>
    <row r="98" spans="1:7" s="202" customFormat="1" x14ac:dyDescent="0.25">
      <c r="A98" s="202" t="s">
        <v>1114</v>
      </c>
      <c r="B98" s="332" t="s">
        <v>95</v>
      </c>
      <c r="C98" s="202" t="s">
        <v>944</v>
      </c>
      <c r="D98" s="203" t="s">
        <v>145</v>
      </c>
      <c r="E98" s="303">
        <f t="shared" si="6"/>
        <v>16.25</v>
      </c>
      <c r="F98" s="910"/>
      <c r="G98" s="203" t="s">
        <v>4331</v>
      </c>
    </row>
    <row r="99" spans="1:7" x14ac:dyDescent="0.25">
      <c r="A99" t="s">
        <v>1869</v>
      </c>
      <c r="B99" s="72" t="s">
        <v>95</v>
      </c>
      <c r="C99" t="s">
        <v>2014</v>
      </c>
      <c r="D99" s="52" t="s">
        <v>450</v>
      </c>
      <c r="E99" s="80">
        <f>8760*3600/1000000</f>
        <v>31.536000000000001</v>
      </c>
      <c r="G99" s="52" t="s">
        <v>4620</v>
      </c>
    </row>
    <row r="100" spans="1:7" x14ac:dyDescent="0.25">
      <c r="A100" t="s">
        <v>2882</v>
      </c>
      <c r="B100" s="72" t="s">
        <v>95</v>
      </c>
      <c r="C100" t="s">
        <v>2014</v>
      </c>
      <c r="D100" s="52" t="s">
        <v>450</v>
      </c>
      <c r="E100" s="80">
        <f>8760*3600/1000000</f>
        <v>31.536000000000001</v>
      </c>
      <c r="G100" s="52" t="s">
        <v>4620</v>
      </c>
    </row>
    <row r="101" spans="1:7" x14ac:dyDescent="0.25">
      <c r="A101" t="s">
        <v>2902</v>
      </c>
      <c r="B101" s="72" t="s">
        <v>95</v>
      </c>
      <c r="C101" t="s">
        <v>2014</v>
      </c>
      <c r="D101" s="52" t="s">
        <v>450</v>
      </c>
      <c r="E101" s="80">
        <f>8760*3600/1000000</f>
        <v>31.536000000000001</v>
      </c>
      <c r="G101" s="52" t="s">
        <v>4620</v>
      </c>
    </row>
    <row r="102" spans="1:7" x14ac:dyDescent="0.25">
      <c r="A102" t="s">
        <v>2886</v>
      </c>
      <c r="B102" s="72" t="s">
        <v>95</v>
      </c>
      <c r="C102" t="s">
        <v>2014</v>
      </c>
      <c r="D102" s="52" t="s">
        <v>450</v>
      </c>
      <c r="E102" s="80">
        <f>8760*3600/1000000</f>
        <v>31.536000000000001</v>
      </c>
      <c r="G102" s="52" t="s">
        <v>4620</v>
      </c>
    </row>
    <row r="103" spans="1:7" x14ac:dyDescent="0.25">
      <c r="A103" t="s">
        <v>4689</v>
      </c>
      <c r="B103" s="72" t="s">
        <v>95</v>
      </c>
      <c r="C103" t="s">
        <v>2014</v>
      </c>
      <c r="D103" s="52" t="s">
        <v>450</v>
      </c>
      <c r="E103" s="80">
        <f t="shared" ref="E103:E106" si="7">8760*3600/1000000</f>
        <v>31.536000000000001</v>
      </c>
      <c r="G103" s="52" t="s">
        <v>4620</v>
      </c>
    </row>
    <row r="104" spans="1:7" x14ac:dyDescent="0.25">
      <c r="A104" t="s">
        <v>4690</v>
      </c>
      <c r="B104" s="72" t="s">
        <v>95</v>
      </c>
      <c r="C104" t="s">
        <v>2014</v>
      </c>
      <c r="D104" s="52" t="s">
        <v>450</v>
      </c>
      <c r="E104" s="80">
        <f t="shared" si="7"/>
        <v>31.536000000000001</v>
      </c>
      <c r="G104" s="52" t="s">
        <v>4620</v>
      </c>
    </row>
    <row r="105" spans="1:7" x14ac:dyDescent="0.25">
      <c r="A105" t="s">
        <v>2884</v>
      </c>
      <c r="B105" s="72" t="s">
        <v>95</v>
      </c>
      <c r="C105" t="s">
        <v>2014</v>
      </c>
      <c r="D105" s="52" t="s">
        <v>450</v>
      </c>
      <c r="E105" s="80">
        <f t="shared" si="7"/>
        <v>31.536000000000001</v>
      </c>
      <c r="G105" s="52" t="s">
        <v>4620</v>
      </c>
    </row>
    <row r="106" spans="1:7" x14ac:dyDescent="0.25">
      <c r="A106" t="s">
        <v>4693</v>
      </c>
      <c r="B106" s="72" t="s">
        <v>95</v>
      </c>
      <c r="C106" t="s">
        <v>2014</v>
      </c>
      <c r="D106" s="52" t="s">
        <v>450</v>
      </c>
      <c r="E106" s="80">
        <f t="shared" si="7"/>
        <v>31.536000000000001</v>
      </c>
      <c r="G106" s="52" t="s">
        <v>4620</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topLeftCell="AB1" workbookViewId="0">
      <selection activeCell="AT3" sqref="AT3"/>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58" t="s">
        <v>1864</v>
      </c>
      <c r="G1" s="1059"/>
      <c r="H1" s="1059"/>
      <c r="I1" s="1059"/>
      <c r="J1" s="1059"/>
      <c r="K1" s="1059"/>
      <c r="L1" s="1060"/>
      <c r="M1" s="53"/>
      <c r="O1" s="1118" t="s">
        <v>4251</v>
      </c>
      <c r="P1" s="1118"/>
      <c r="R1" s="1118" t="s">
        <v>4262</v>
      </c>
      <c r="S1" s="1118"/>
      <c r="T1" s="1118"/>
      <c r="U1" s="1118"/>
      <c r="V1" s="1118"/>
      <c r="W1" s="1118"/>
      <c r="X1" s="1118"/>
      <c r="Y1" s="1118"/>
      <c r="Z1" s="1118"/>
      <c r="AA1" s="1118"/>
      <c r="AB1" s="1118"/>
      <c r="AC1" s="1118"/>
      <c r="AD1" s="1118"/>
      <c r="AE1" s="1118"/>
      <c r="AF1" s="1118"/>
      <c r="AG1" s="1118"/>
      <c r="AH1" s="1118"/>
      <c r="AI1" s="1118"/>
      <c r="AJ1" s="1118"/>
      <c r="AK1" s="1118"/>
      <c r="AL1" s="1118"/>
      <c r="AM1" s="1118"/>
      <c r="AN1" s="1118"/>
    </row>
    <row r="2" spans="1:46" ht="107.25" thickBot="1" x14ac:dyDescent="0.3">
      <c r="A2" s="724" t="s">
        <v>92</v>
      </c>
      <c r="B2" s="724" t="s">
        <v>283</v>
      </c>
      <c r="C2" s="724" t="s">
        <v>93</v>
      </c>
      <c r="D2" s="724" t="s">
        <v>179</v>
      </c>
      <c r="E2" s="725" t="s">
        <v>143</v>
      </c>
      <c r="F2" s="724">
        <v>2021</v>
      </c>
      <c r="G2" s="724">
        <v>2025</v>
      </c>
      <c r="H2" s="724">
        <v>2030</v>
      </c>
      <c r="I2" s="724">
        <v>2035</v>
      </c>
      <c r="J2" s="724">
        <v>2040</v>
      </c>
      <c r="K2" s="724">
        <v>2045</v>
      </c>
      <c r="L2" s="725">
        <v>2050</v>
      </c>
      <c r="M2" s="733" t="s">
        <v>91</v>
      </c>
      <c r="O2" s="88" t="s">
        <v>4252</v>
      </c>
      <c r="P2" s="88">
        <v>2021</v>
      </c>
      <c r="R2" s="88" t="s">
        <v>4252</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4" t="s">
        <v>4263</v>
      </c>
      <c r="AP2" s="905" t="s">
        <v>4349</v>
      </c>
      <c r="AQ2" t="s">
        <v>4343</v>
      </c>
      <c r="AR2" t="s">
        <v>4345</v>
      </c>
      <c r="AS2" t="s">
        <v>4344</v>
      </c>
      <c r="AT2" t="s">
        <v>4350</v>
      </c>
    </row>
    <row r="3" spans="1:46" ht="15.75" thickTop="1" x14ac:dyDescent="0.25">
      <c r="A3" t="s">
        <v>4432</v>
      </c>
      <c r="B3" t="s">
        <v>2038</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4352</v>
      </c>
      <c r="N3" s="85" t="s">
        <v>4332</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0">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4433</v>
      </c>
      <c r="B4" t="s">
        <v>2038</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4352</v>
      </c>
      <c r="N4" s="85" t="s">
        <v>4332</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0">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4434</v>
      </c>
      <c r="B5" t="s">
        <v>4761</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4352</v>
      </c>
      <c r="N5" s="85" t="s">
        <v>4332</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0">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4435</v>
      </c>
      <c r="B6" t="s">
        <v>2038</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4352</v>
      </c>
      <c r="N6" s="85" t="s">
        <v>4332</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0">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4436</v>
      </c>
      <c r="B7" s="202" t="s">
        <v>2038</v>
      </c>
      <c r="C7" s="202" t="s">
        <v>95</v>
      </c>
      <c r="D7" s="202" t="s">
        <v>161</v>
      </c>
      <c r="E7" s="203">
        <v>2023</v>
      </c>
      <c r="F7" s="871">
        <f>('Background Data'!$X$22/1000)/(Cap2Act!$E7*'Background Data'!$X$11)</f>
        <v>1.6695019788465208E-2</v>
      </c>
      <c r="G7" s="871">
        <f t="shared" si="0"/>
        <v>1.886181082414836E-2</v>
      </c>
      <c r="H7" s="871">
        <f>$AP$3 / Cap2Act!$E7</f>
        <v>2.1028601859831512E-2</v>
      </c>
      <c r="I7" s="871">
        <f>$AP$3 / Cap2Act!$E7</f>
        <v>2.1028601859831512E-2</v>
      </c>
      <c r="J7" s="871">
        <f>$AP$3 / Cap2Act!$E7</f>
        <v>2.1028601859831512E-2</v>
      </c>
      <c r="K7" s="871">
        <f>$AP$3 / Cap2Act!$E7</f>
        <v>2.1028601859831512E-2</v>
      </c>
      <c r="L7" s="871">
        <f>$AP$3 / Cap2Act!$E7</f>
        <v>2.1028601859831512E-2</v>
      </c>
      <c r="M7" s="240" t="s">
        <v>4352</v>
      </c>
      <c r="N7" s="598" t="s">
        <v>4332</v>
      </c>
      <c r="O7" s="912" t="s">
        <v>29</v>
      </c>
      <c r="P7" s="302">
        <f>F19*Cap2Act!E19*'Background Data'!$X$15*1000</f>
        <v>91973.421832000007</v>
      </c>
      <c r="R7" s="202" t="s">
        <v>29</v>
      </c>
      <c r="S7" s="913">
        <f>('Background Data'!C26/1000)/'Background Data'!C15</f>
        <v>0.71936650297206162</v>
      </c>
      <c r="T7" s="913">
        <f>('Background Data'!D26/1000)/'Background Data'!D15</f>
        <v>0.65495568388977221</v>
      </c>
      <c r="U7" s="913">
        <f>('Background Data'!E26/1000)/'Background Data'!E15</f>
        <v>0.64292607352280018</v>
      </c>
      <c r="V7" s="913">
        <f>('Background Data'!F26/1000)/'Background Data'!F15</f>
        <v>0.6700673095066636</v>
      </c>
      <c r="W7" s="913">
        <f>('Background Data'!G26/1000)/'Background Data'!G15</f>
        <v>0.70896051479660516</v>
      </c>
      <c r="X7" s="913">
        <f>('Background Data'!H26/1000)/'Background Data'!H15</f>
        <v>0.74467627641511125</v>
      </c>
      <c r="Y7" s="913">
        <f>('Background Data'!I26/1000)/'Background Data'!I15</f>
        <v>0.65282637539745969</v>
      </c>
      <c r="Z7" s="913">
        <f>('Background Data'!J26/1000)/'Background Data'!J15</f>
        <v>0.62843369196835253</v>
      </c>
      <c r="AA7" s="913">
        <f>('Background Data'!K26/1000)/'Background Data'!K15</f>
        <v>0.62342728494078992</v>
      </c>
      <c r="AB7" s="913">
        <f>('Background Data'!L26/1000)/'Background Data'!L15</f>
        <v>0.60110547051313878</v>
      </c>
      <c r="AC7" s="913">
        <f>('Background Data'!M26/1000)/'Background Data'!M15</f>
        <v>0.66578299829106202</v>
      </c>
      <c r="AD7" s="913">
        <f>('Background Data'!N26/1000)/'Background Data'!N15</f>
        <v>0.68529534961747862</v>
      </c>
      <c r="AE7" s="913">
        <f>('Background Data'!O26/1000)/'Background Data'!O15</f>
        <v>0.70481674852960163</v>
      </c>
      <c r="AF7" s="913">
        <f>('Background Data'!P26/1000)/'Background Data'!P15</f>
        <v>0.71915990016972153</v>
      </c>
      <c r="AG7" s="913">
        <f>('Background Data'!Q26/1000)/'Background Data'!Q15</f>
        <v>0.72876323409925925</v>
      </c>
      <c r="AH7" s="913">
        <f>('Background Data'!R26/1000)/'Background Data'!R15</f>
        <v>0.74036475117179212</v>
      </c>
      <c r="AI7" s="913">
        <f>('Background Data'!S26/1000)/'Background Data'!S15</f>
        <v>0.75210143514021377</v>
      </c>
      <c r="AJ7" s="913">
        <f>('Background Data'!T26/1000)/'Background Data'!T15</f>
        <v>0.76133285020770092</v>
      </c>
      <c r="AK7" s="913">
        <f>('Background Data'!U26/1000)/'Background Data'!U15</f>
        <v>0.68372824088124062</v>
      </c>
      <c r="AL7" s="913">
        <f>('Background Data'!V26/1000)/'Background Data'!V15</f>
        <v>0.69007734330271475</v>
      </c>
      <c r="AM7" s="913">
        <f>('Background Data'!W26/1000)/'Background Data'!W15</f>
        <v>0.60532237621255292</v>
      </c>
      <c r="AN7" s="913">
        <f>('Background Data'!X26/1000)/'Background Data'!X15</f>
        <v>0.62103081629731671</v>
      </c>
      <c r="AO7" s="914">
        <f t="shared" si="4"/>
        <v>0.76133285020770092</v>
      </c>
      <c r="AP7" s="913">
        <f t="shared" si="5"/>
        <v>0.72606130913382028</v>
      </c>
      <c r="AQ7" s="598">
        <f t="shared" si="1"/>
        <v>0.10325727629885195</v>
      </c>
      <c r="AR7" s="598">
        <f t="shared" si="2"/>
        <v>0.22591799026477788</v>
      </c>
      <c r="AS7" s="598">
        <f t="shared" si="3"/>
        <v>0.11118051664016337</v>
      </c>
      <c r="AT7" s="598">
        <f t="shared" si="6"/>
        <v>0.16912283590484578</v>
      </c>
    </row>
    <row r="8" spans="1:46" x14ac:dyDescent="0.25">
      <c r="A8" t="s">
        <v>4437</v>
      </c>
      <c r="B8" t="s">
        <v>2039</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4352</v>
      </c>
      <c r="N8" s="85" t="s">
        <v>4332</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0">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4438</v>
      </c>
      <c r="B9" t="s">
        <v>2039</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4352</v>
      </c>
      <c r="N9" s="85" t="s">
        <v>4332</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0">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4439</v>
      </c>
      <c r="B10" t="s">
        <v>4762</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4352</v>
      </c>
      <c r="N10" s="85" t="s">
        <v>4332</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0">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4440</v>
      </c>
      <c r="B11" t="s">
        <v>2039</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4352</v>
      </c>
      <c r="N11" s="85" t="s">
        <v>4332</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0">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4441</v>
      </c>
      <c r="B12" s="202" t="s">
        <v>2039</v>
      </c>
      <c r="C12" s="202" t="s">
        <v>95</v>
      </c>
      <c r="D12" s="202" t="s">
        <v>161</v>
      </c>
      <c r="E12" s="203">
        <v>2023</v>
      </c>
      <c r="F12" s="871">
        <f>('Background Data'!$X$23/1000)/(Cap2Act!$E12*'Background Data'!$X$12)</f>
        <v>1.5389677359547533E-2</v>
      </c>
      <c r="G12" s="871">
        <f t="shared" si="0"/>
        <v>1.707348832681458E-2</v>
      </c>
      <c r="H12" s="871">
        <f>$AP$4 / Cap2Act!$E12</f>
        <v>1.8757299294081629E-2</v>
      </c>
      <c r="I12" s="871">
        <f>$AP$4 / Cap2Act!$E12</f>
        <v>1.8757299294081629E-2</v>
      </c>
      <c r="J12" s="871">
        <f>$AP$4 / Cap2Act!$E12</f>
        <v>1.8757299294081629E-2</v>
      </c>
      <c r="K12" s="871">
        <f>$AP$4 / Cap2Act!$E12</f>
        <v>1.8757299294081629E-2</v>
      </c>
      <c r="L12" s="871">
        <f>$AP$4 / Cap2Act!$E12</f>
        <v>1.8757299294081629E-2</v>
      </c>
      <c r="M12" s="240" t="s">
        <v>4352</v>
      </c>
      <c r="N12" s="598" t="s">
        <v>4332</v>
      </c>
      <c r="O12" s="912"/>
      <c r="P12" s="302"/>
    </row>
    <row r="13" spans="1:46" ht="15.75" thickBot="1" x14ac:dyDescent="0.3">
      <c r="A13" t="s">
        <v>4442</v>
      </c>
      <c r="B13" t="s">
        <v>2040</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4352</v>
      </c>
      <c r="N13" s="85" t="s">
        <v>4332</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4443</v>
      </c>
      <c r="B14" t="s">
        <v>2040</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4352</v>
      </c>
      <c r="N14" s="85" t="s">
        <v>4332</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4444</v>
      </c>
      <c r="B15" t="s">
        <v>2040</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4352</v>
      </c>
      <c r="N15" s="85" t="s">
        <v>4332</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4445</v>
      </c>
      <c r="B16" s="202" t="s">
        <v>2040</v>
      </c>
      <c r="C16" s="202" t="s">
        <v>95</v>
      </c>
      <c r="D16" s="202" t="s">
        <v>161</v>
      </c>
      <c r="E16" s="203">
        <v>2023</v>
      </c>
      <c r="F16" s="871">
        <f>('Background Data'!$X$24/1000)/(Cap2Act!$E16*'Background Data'!$X$13)</f>
        <v>3.0010871205830705E-2</v>
      </c>
      <c r="G16" s="871">
        <f t="shared" si="0"/>
        <v>3.3234261591271741E-2</v>
      </c>
      <c r="H16" s="871">
        <f>$AP$5 / Cap2Act!$E16</f>
        <v>3.6457651976712781E-2</v>
      </c>
      <c r="I16" s="871">
        <f>$AP$5 / Cap2Act!$E16</f>
        <v>3.6457651976712781E-2</v>
      </c>
      <c r="J16" s="871">
        <f>$AP$5 / Cap2Act!$E16</f>
        <v>3.6457651976712781E-2</v>
      </c>
      <c r="K16" s="871">
        <f>$AP$5 / Cap2Act!$E16</f>
        <v>3.6457651976712781E-2</v>
      </c>
      <c r="L16" s="871">
        <f>$AP$5 / Cap2Act!$E16</f>
        <v>3.6457651976712781E-2</v>
      </c>
      <c r="M16" s="240" t="s">
        <v>4352</v>
      </c>
      <c r="N16" s="598" t="s">
        <v>4332</v>
      </c>
      <c r="O16" s="912"/>
      <c r="P16" s="302"/>
      <c r="R16" s="202" t="s">
        <v>28</v>
      </c>
      <c r="S16" s="598">
        <v>3.7878381407843845E-2</v>
      </c>
      <c r="T16" s="598">
        <v>3.2192589316321102E-2</v>
      </c>
      <c r="U16" s="598">
        <v>3.6849534233957634E-2</v>
      </c>
      <c r="V16" s="598">
        <v>3.7456593710628434E-2</v>
      </c>
      <c r="W16" s="598">
        <v>3.3475345080742389E-2</v>
      </c>
      <c r="X16" s="598">
        <v>3.2518665325602623E-2</v>
      </c>
      <c r="Y16" s="598">
        <v>3.4757731982942429E-2</v>
      </c>
      <c r="Z16" s="598">
        <v>3.4028357218844035E-2</v>
      </c>
      <c r="AA16" s="598">
        <v>3.1190170171146066E-2</v>
      </c>
      <c r="AB16" s="598">
        <v>3.0374667115043812E-2</v>
      </c>
      <c r="AC16" s="598">
        <v>2.9060134944391296E-2</v>
      </c>
      <c r="AD16" s="598">
        <v>2.7547483343615918E-2</v>
      </c>
      <c r="AE16" s="598">
        <v>2.5952827158539301E-2</v>
      </c>
      <c r="AF16" s="598">
        <v>2.5891533653123917E-2</v>
      </c>
      <c r="AG16" s="598">
        <v>2.6799833667747207E-2</v>
      </c>
      <c r="AH16" s="598">
        <v>2.6679927463137344E-2</v>
      </c>
      <c r="AI16" s="598">
        <v>2.2051014964966267E-2</v>
      </c>
      <c r="AJ16" s="598">
        <v>2.4183772144111233E-2</v>
      </c>
    </row>
    <row r="17" spans="1:35" x14ac:dyDescent="0.25">
      <c r="A17" t="s">
        <v>4446</v>
      </c>
      <c r="B17" t="s">
        <v>2041</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4352</v>
      </c>
      <c r="N17" s="85" t="s">
        <v>4332</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4447</v>
      </c>
      <c r="B18" s="202" t="s">
        <v>2041</v>
      </c>
      <c r="C18" s="202" t="s">
        <v>95</v>
      </c>
      <c r="D18" s="202" t="s">
        <v>161</v>
      </c>
      <c r="E18" s="203">
        <v>2023</v>
      </c>
      <c r="F18" s="871">
        <f>('Background Data'!$X$25/1000)/(Cap2Act!$E18*'Background Data'!$X$14)</f>
        <v>2.480386886575511E-2</v>
      </c>
      <c r="G18" s="871">
        <f t="shared" si="0"/>
        <v>2.6242254110702769E-2</v>
      </c>
      <c r="H18" s="871">
        <f>$AP$6 / Cap2Act!$E18</f>
        <v>2.7680639355650429E-2</v>
      </c>
      <c r="I18" s="871">
        <f>$AP$6 / Cap2Act!$E18</f>
        <v>2.7680639355650429E-2</v>
      </c>
      <c r="J18" s="871">
        <f>$AP$6 / Cap2Act!$E18</f>
        <v>2.7680639355650429E-2</v>
      </c>
      <c r="K18" s="871">
        <f>$AP$6 / Cap2Act!$E18</f>
        <v>2.7680639355650429E-2</v>
      </c>
      <c r="L18" s="871">
        <f>$AP$6 / Cap2Act!$E18</f>
        <v>2.7680639355650429E-2</v>
      </c>
      <c r="M18" s="240" t="s">
        <v>4781</v>
      </c>
      <c r="N18" s="598" t="s">
        <v>4332</v>
      </c>
      <c r="O18" s="912"/>
      <c r="P18" s="302"/>
    </row>
    <row r="19" spans="1:35" s="915" customFormat="1" x14ac:dyDescent="0.25">
      <c r="A19" s="915" t="s">
        <v>4448</v>
      </c>
      <c r="B19" s="915" t="s">
        <v>2042</v>
      </c>
      <c r="C19" s="915" t="s">
        <v>95</v>
      </c>
      <c r="D19" s="915" t="s">
        <v>161</v>
      </c>
      <c r="E19" s="916">
        <v>2023</v>
      </c>
      <c r="F19" s="917">
        <f>('Background Data'!$X$26/1000)/(Cap2Act!$E19*'Background Data'!$X$15)</f>
        <v>0.19108640501455898</v>
      </c>
      <c r="G19" s="917">
        <f t="shared" si="0"/>
        <v>0.20724494237402108</v>
      </c>
      <c r="H19" s="917">
        <f>$AP$7 / Cap2Act!$E19</f>
        <v>0.22340347973348315</v>
      </c>
      <c r="I19" s="917">
        <f>$AP$7 / Cap2Act!$E19</f>
        <v>0.22340347973348315</v>
      </c>
      <c r="J19" s="917">
        <f>$AP$7 / Cap2Act!$E19</f>
        <v>0.22340347973348315</v>
      </c>
      <c r="K19" s="917">
        <f>$AP$7 / Cap2Act!$E19</f>
        <v>0.22340347973348315</v>
      </c>
      <c r="L19" s="917">
        <f>$AP$7 / Cap2Act!$E19</f>
        <v>0.22340347973348315</v>
      </c>
      <c r="M19" s="576" t="s">
        <v>4352</v>
      </c>
      <c r="N19" s="918" t="s">
        <v>4332</v>
      </c>
      <c r="O19" s="919"/>
    </row>
    <row r="20" spans="1:35" s="915" customFormat="1" x14ac:dyDescent="0.25">
      <c r="A20" s="915" t="s">
        <v>4449</v>
      </c>
      <c r="B20" s="915" t="s">
        <v>2043</v>
      </c>
      <c r="C20" s="915" t="s">
        <v>95</v>
      </c>
      <c r="D20" s="915" t="s">
        <v>161</v>
      </c>
      <c r="E20" s="916">
        <v>2023</v>
      </c>
      <c r="F20" s="917">
        <f>('Background Data'!$X$27/1000)/(Cap2Act!$E20*'Background Data'!$X$16)</f>
        <v>9.7237402819970557E-3</v>
      </c>
      <c r="G20" s="917">
        <f t="shared" si="0"/>
        <v>9.0476254401721124E-3</v>
      </c>
      <c r="H20" s="917">
        <f>$AP$8 / Cap2Act!$E20</f>
        <v>8.3715105983471691E-3</v>
      </c>
      <c r="I20" s="917">
        <f>$AP$8 / Cap2Act!$E20</f>
        <v>8.3715105983471691E-3</v>
      </c>
      <c r="J20" s="917">
        <f>$AP$8 / Cap2Act!$E20</f>
        <v>8.3715105983471691E-3</v>
      </c>
      <c r="K20" s="917">
        <f>$AP$8 / Cap2Act!$E20</f>
        <v>8.3715105983471691E-3</v>
      </c>
      <c r="L20" s="917">
        <f>$AP$8 / Cap2Act!$E20</f>
        <v>8.3715105983471691E-3</v>
      </c>
      <c r="M20" s="576" t="s">
        <v>4352</v>
      </c>
      <c r="N20" s="918" t="s">
        <v>4332</v>
      </c>
      <c r="O20" s="919"/>
    </row>
    <row r="21" spans="1:35" x14ac:dyDescent="0.25">
      <c r="A21" t="s">
        <v>4450</v>
      </c>
      <c r="B21" t="s">
        <v>2044</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4352</v>
      </c>
      <c r="N21" s="85" t="s">
        <v>4332</v>
      </c>
      <c r="O21" s="169"/>
    </row>
    <row r="22" spans="1:35" x14ac:dyDescent="0.25">
      <c r="A22" t="s">
        <v>4451</v>
      </c>
      <c r="B22" t="s">
        <v>2044</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4352</v>
      </c>
      <c r="N22" s="85" t="s">
        <v>4332</v>
      </c>
      <c r="O22" s="169"/>
      <c r="P22" s="301"/>
    </row>
    <row r="23" spans="1:35" s="202" customFormat="1" x14ac:dyDescent="0.25">
      <c r="A23" s="202" t="s">
        <v>4452</v>
      </c>
      <c r="B23" s="202" t="s">
        <v>2044</v>
      </c>
      <c r="C23" s="202" t="s">
        <v>95</v>
      </c>
      <c r="D23" s="202" t="s">
        <v>161</v>
      </c>
      <c r="E23" s="203">
        <v>2023</v>
      </c>
      <c r="F23" s="871">
        <f>('Background Data'!$X$28/1000)/(Cap2Act!$E23*'Background Data'!$X$17)</f>
        <v>2.5395225485871645E-2</v>
      </c>
      <c r="G23" s="871">
        <f t="shared" si="0"/>
        <v>2.9693898219979697E-2</v>
      </c>
      <c r="H23" s="871">
        <f>$AP$9 / Cap2Act!$E23</f>
        <v>3.3992570954087753E-2</v>
      </c>
      <c r="I23" s="871">
        <f>$AP$9 / Cap2Act!$E23</f>
        <v>3.3992570954087753E-2</v>
      </c>
      <c r="J23" s="871">
        <f>$AP$9 / Cap2Act!$E23</f>
        <v>3.3992570954087753E-2</v>
      </c>
      <c r="K23" s="871">
        <f>$AP$9 / Cap2Act!$E23</f>
        <v>3.3992570954087753E-2</v>
      </c>
      <c r="L23" s="871">
        <f>$AP$9 / Cap2Act!$E23</f>
        <v>3.3992570954087753E-2</v>
      </c>
      <c r="M23" s="240" t="s">
        <v>4352</v>
      </c>
      <c r="N23" s="598" t="s">
        <v>4332</v>
      </c>
      <c r="O23" s="912"/>
      <c r="P23" s="302"/>
    </row>
    <row r="24" spans="1:35" x14ac:dyDescent="0.25">
      <c r="A24" t="s">
        <v>4453</v>
      </c>
      <c r="B24" t="s">
        <v>2045</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4352</v>
      </c>
      <c r="N24" s="85" t="s">
        <v>4332</v>
      </c>
      <c r="O24" s="169"/>
    </row>
    <row r="25" spans="1:35" ht="14.45" customHeight="1" x14ac:dyDescent="0.25">
      <c r="A25" t="s">
        <v>4454</v>
      </c>
      <c r="B25" t="s">
        <v>2045</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4352</v>
      </c>
      <c r="N25" s="85" t="s">
        <v>4332</v>
      </c>
      <c r="O25" s="169"/>
      <c r="P25" s="301"/>
    </row>
    <row r="26" spans="1:35" x14ac:dyDescent="0.25">
      <c r="A26" t="s">
        <v>4455</v>
      </c>
      <c r="B26" t="s">
        <v>2045</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4352</v>
      </c>
      <c r="N26" s="85" t="s">
        <v>4332</v>
      </c>
      <c r="O26" s="169"/>
      <c r="P26" s="301"/>
    </row>
    <row r="27" spans="1:35" s="202" customFormat="1" x14ac:dyDescent="0.25">
      <c r="A27" s="202" t="s">
        <v>4456</v>
      </c>
      <c r="B27" s="202" t="s">
        <v>2045</v>
      </c>
      <c r="C27" s="202" t="s">
        <v>95</v>
      </c>
      <c r="D27" s="202" t="s">
        <v>161</v>
      </c>
      <c r="E27" s="203">
        <v>2023</v>
      </c>
      <c r="F27" s="871">
        <f>('Background Data'!$X$29/1000)/(Cap2Act!$E27*'Background Data'!$X$18)</f>
        <v>3.2679054928412492E-2</v>
      </c>
      <c r="G27" s="871">
        <f t="shared" si="0"/>
        <v>3.8638139532219423E-2</v>
      </c>
      <c r="H27" s="871">
        <f>$AP$10 / Cap2Act!$E27</f>
        <v>4.4597224136026355E-2</v>
      </c>
      <c r="I27" s="871">
        <f>$AP$10 / Cap2Act!$E27</f>
        <v>4.4597224136026355E-2</v>
      </c>
      <c r="J27" s="871">
        <f>$AP$10 / Cap2Act!$E27</f>
        <v>4.4597224136026355E-2</v>
      </c>
      <c r="K27" s="871">
        <f>$AP$10 / Cap2Act!$E27</f>
        <v>4.4597224136026355E-2</v>
      </c>
      <c r="L27" s="871">
        <f>$AP$10 / Cap2Act!$E27</f>
        <v>4.4597224136026355E-2</v>
      </c>
      <c r="M27" s="240" t="s">
        <v>4352</v>
      </c>
      <c r="N27" s="598" t="s">
        <v>4332</v>
      </c>
      <c r="O27" s="912"/>
      <c r="P27" s="302"/>
    </row>
    <row r="28" spans="1:35" x14ac:dyDescent="0.25">
      <c r="A28" t="s">
        <v>4457</v>
      </c>
      <c r="B28" t="s">
        <v>2046</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4352</v>
      </c>
      <c r="N28" s="85" t="s">
        <v>4332</v>
      </c>
      <c r="O28" s="834"/>
    </row>
    <row r="29" spans="1:35" s="202" customFormat="1" x14ac:dyDescent="0.25">
      <c r="A29" s="202" t="s">
        <v>4458</v>
      </c>
      <c r="B29" s="202" t="s">
        <v>2046</v>
      </c>
      <c r="C29" s="202" t="s">
        <v>95</v>
      </c>
      <c r="D29" s="202" t="s">
        <v>161</v>
      </c>
      <c r="E29" s="203">
        <v>2023</v>
      </c>
      <c r="F29" s="870">
        <f>('Background Data'!$X$30/1000)/(Cap2Act!$E29*'Background Data'!$X$19)</f>
        <v>3.5626102304699189E-2</v>
      </c>
      <c r="G29" s="871">
        <f t="shared" si="0"/>
        <v>4.1296921492783426E-2</v>
      </c>
      <c r="H29" s="871">
        <f>$AP$11 / Cap2Act!$E29</f>
        <v>4.6967740680867662E-2</v>
      </c>
      <c r="I29" s="871">
        <f>$AP$11 / Cap2Act!$E29</f>
        <v>4.6967740680867662E-2</v>
      </c>
      <c r="J29" s="871">
        <f>$AP$11 / Cap2Act!$E29</f>
        <v>4.6967740680867662E-2</v>
      </c>
      <c r="K29" s="871">
        <f>$AP$11 / Cap2Act!$E29</f>
        <v>4.6967740680867662E-2</v>
      </c>
      <c r="L29" s="872">
        <f>$AP$11 / Cap2Act!$E29</f>
        <v>4.6967740680867662E-2</v>
      </c>
      <c r="M29" s="240" t="s">
        <v>4352</v>
      </c>
      <c r="N29" s="85" t="s">
        <v>4332</v>
      </c>
      <c r="O29" s="835"/>
      <c r="P29" s="302"/>
    </row>
    <row r="30" spans="1:35" x14ac:dyDescent="0.25">
      <c r="A30" t="s">
        <v>1004</v>
      </c>
      <c r="B30" t="s">
        <v>2038</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4352</v>
      </c>
      <c r="N30" s="85" t="s">
        <v>4332</v>
      </c>
    </row>
    <row r="31" spans="1:35" x14ac:dyDescent="0.25">
      <c r="A31" t="s">
        <v>1005</v>
      </c>
      <c r="B31" t="s">
        <v>2038</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4352</v>
      </c>
      <c r="N31" s="85" t="s">
        <v>4332</v>
      </c>
    </row>
    <row r="32" spans="1:35" x14ac:dyDescent="0.25">
      <c r="A32" t="s">
        <v>1006</v>
      </c>
      <c r="B32" t="s">
        <v>2038</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4352</v>
      </c>
      <c r="N32" s="85" t="s">
        <v>4332</v>
      </c>
    </row>
    <row r="33" spans="1:14" x14ac:dyDescent="0.25">
      <c r="A33" t="s">
        <v>1007</v>
      </c>
      <c r="B33" t="s">
        <v>2038</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4352</v>
      </c>
      <c r="N33" s="85" t="s">
        <v>4332</v>
      </c>
    </row>
    <row r="34" spans="1:14" x14ac:dyDescent="0.25">
      <c r="A34" t="s">
        <v>4390</v>
      </c>
      <c r="B34" t="s">
        <v>2038</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4352</v>
      </c>
      <c r="N34" s="85" t="s">
        <v>4332</v>
      </c>
    </row>
    <row r="35" spans="1:14" x14ac:dyDescent="0.25">
      <c r="A35" t="s">
        <v>1009</v>
      </c>
      <c r="B35" t="s">
        <v>2038</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4352</v>
      </c>
      <c r="N35" s="85" t="s">
        <v>4332</v>
      </c>
    </row>
    <row r="36" spans="1:14" ht="15" customHeight="1" x14ac:dyDescent="0.25">
      <c r="A36" t="s">
        <v>4395</v>
      </c>
      <c r="B36" t="s">
        <v>4761</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4352</v>
      </c>
      <c r="N36" s="85" t="s">
        <v>4332</v>
      </c>
    </row>
    <row r="37" spans="1:14" x14ac:dyDescent="0.25">
      <c r="A37" t="s">
        <v>1010</v>
      </c>
      <c r="B37" t="s">
        <v>4761</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4352</v>
      </c>
      <c r="N37" s="85" t="s">
        <v>4332</v>
      </c>
    </row>
    <row r="38" spans="1:14" x14ac:dyDescent="0.25">
      <c r="A38" t="s">
        <v>1011</v>
      </c>
      <c r="B38" t="s">
        <v>4761</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4352</v>
      </c>
      <c r="N38" s="85" t="s">
        <v>4332</v>
      </c>
    </row>
    <row r="39" spans="1:14" x14ac:dyDescent="0.25">
      <c r="A39" t="s">
        <v>1012</v>
      </c>
      <c r="B39" t="s">
        <v>4761</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4352</v>
      </c>
      <c r="N39" s="85" t="s">
        <v>4332</v>
      </c>
    </row>
    <row r="40" spans="1:14" s="202" customFormat="1" x14ac:dyDescent="0.25">
      <c r="A40" s="202" t="s">
        <v>4420</v>
      </c>
      <c r="B40" s="202" t="s">
        <v>2038</v>
      </c>
      <c r="C40" s="202" t="s">
        <v>95</v>
      </c>
      <c r="D40" s="202" t="s">
        <v>161</v>
      </c>
      <c r="E40" s="203">
        <v>2023</v>
      </c>
      <c r="F40" s="871">
        <f t="shared" si="10"/>
        <v>1.6695019788465208E-2</v>
      </c>
      <c r="G40" s="871">
        <f t="shared" si="8"/>
        <v>1.886181082414836E-2</v>
      </c>
      <c r="H40" s="871">
        <f t="shared" si="9"/>
        <v>2.1028601859831512E-2</v>
      </c>
      <c r="I40" s="871">
        <f t="shared" si="9"/>
        <v>2.1028601859831512E-2</v>
      </c>
      <c r="J40" s="871">
        <f t="shared" si="9"/>
        <v>2.1028601859831512E-2</v>
      </c>
      <c r="K40" s="871">
        <f t="shared" si="9"/>
        <v>2.1028601859831512E-2</v>
      </c>
      <c r="L40" s="871">
        <f t="shared" si="9"/>
        <v>2.1028601859831512E-2</v>
      </c>
      <c r="M40" s="240" t="s">
        <v>4352</v>
      </c>
      <c r="N40" s="598" t="s">
        <v>4332</v>
      </c>
    </row>
    <row r="41" spans="1:14" x14ac:dyDescent="0.25">
      <c r="A41" t="s">
        <v>1014</v>
      </c>
      <c r="B41" t="s">
        <v>2039</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4352</v>
      </c>
      <c r="N41" s="85" t="s">
        <v>4332</v>
      </c>
    </row>
    <row r="42" spans="1:14" x14ac:dyDescent="0.25">
      <c r="A42" t="s">
        <v>1015</v>
      </c>
      <c r="B42" t="s">
        <v>2039</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4352</v>
      </c>
      <c r="N42" s="85" t="s">
        <v>4332</v>
      </c>
    </row>
    <row r="43" spans="1:14" x14ac:dyDescent="0.25">
      <c r="A43" t="s">
        <v>1016</v>
      </c>
      <c r="B43" t="s">
        <v>2039</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4352</v>
      </c>
      <c r="N43" s="85" t="s">
        <v>4332</v>
      </c>
    </row>
    <row r="44" spans="1:14" x14ac:dyDescent="0.25">
      <c r="A44" t="s">
        <v>1017</v>
      </c>
      <c r="B44" t="s">
        <v>2039</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4352</v>
      </c>
      <c r="N44" s="85" t="s">
        <v>4332</v>
      </c>
    </row>
    <row r="45" spans="1:14" x14ac:dyDescent="0.25">
      <c r="A45" t="s">
        <v>4391</v>
      </c>
      <c r="B45" t="s">
        <v>2039</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4352</v>
      </c>
      <c r="N45" s="85" t="s">
        <v>4332</v>
      </c>
    </row>
    <row r="46" spans="1:14" x14ac:dyDescent="0.25">
      <c r="A46" t="s">
        <v>1019</v>
      </c>
      <c r="B46" t="s">
        <v>2039</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4352</v>
      </c>
      <c r="N46" s="85" t="s">
        <v>4332</v>
      </c>
    </row>
    <row r="47" spans="1:14" x14ac:dyDescent="0.25">
      <c r="A47" t="s">
        <v>4396</v>
      </c>
      <c r="B47" t="s">
        <v>4762</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4352</v>
      </c>
      <c r="N47" s="85" t="s">
        <v>4332</v>
      </c>
    </row>
    <row r="48" spans="1:14" x14ac:dyDescent="0.25">
      <c r="A48" t="s">
        <v>1020</v>
      </c>
      <c r="B48" t="s">
        <v>4762</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4352</v>
      </c>
      <c r="N48" s="85" t="s">
        <v>4332</v>
      </c>
    </row>
    <row r="49" spans="1:14" x14ac:dyDescent="0.25">
      <c r="A49" t="s">
        <v>1021</v>
      </c>
      <c r="B49" t="s">
        <v>4762</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4352</v>
      </c>
      <c r="N49" s="85" t="s">
        <v>4332</v>
      </c>
    </row>
    <row r="50" spans="1:14" x14ac:dyDescent="0.25">
      <c r="A50" t="s">
        <v>1022</v>
      </c>
      <c r="B50" t="s">
        <v>4762</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4352</v>
      </c>
      <c r="N50" s="85" t="s">
        <v>4332</v>
      </c>
    </row>
    <row r="51" spans="1:14" s="202" customFormat="1" x14ac:dyDescent="0.25">
      <c r="A51" s="202" t="s">
        <v>4421</v>
      </c>
      <c r="B51" s="202" t="s">
        <v>2039</v>
      </c>
      <c r="C51" s="202" t="s">
        <v>95</v>
      </c>
      <c r="D51" s="202" t="s">
        <v>161</v>
      </c>
      <c r="E51" s="203">
        <v>2023</v>
      </c>
      <c r="F51" s="871">
        <f t="shared" si="13"/>
        <v>1.5389677359547533E-2</v>
      </c>
      <c r="G51" s="871">
        <f t="shared" si="11"/>
        <v>1.707348832681458E-2</v>
      </c>
      <c r="H51" s="871">
        <f t="shared" si="12"/>
        <v>1.8757299294081629E-2</v>
      </c>
      <c r="I51" s="871">
        <f t="shared" si="12"/>
        <v>1.8757299294081629E-2</v>
      </c>
      <c r="J51" s="871">
        <f t="shared" si="12"/>
        <v>1.8757299294081629E-2</v>
      </c>
      <c r="K51" s="871">
        <f t="shared" si="12"/>
        <v>1.8757299294081629E-2</v>
      </c>
      <c r="L51" s="871">
        <f t="shared" si="12"/>
        <v>1.8757299294081629E-2</v>
      </c>
      <c r="M51" s="240" t="s">
        <v>4352</v>
      </c>
      <c r="N51" s="598" t="s">
        <v>4332</v>
      </c>
    </row>
    <row r="52" spans="1:14" x14ac:dyDescent="0.25">
      <c r="A52" t="s">
        <v>1033</v>
      </c>
      <c r="B52" t="s">
        <v>2040</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4352</v>
      </c>
      <c r="N52" s="85" t="s">
        <v>4332</v>
      </c>
    </row>
    <row r="53" spans="1:14" x14ac:dyDescent="0.25">
      <c r="A53" t="s">
        <v>1034</v>
      </c>
      <c r="B53" t="s">
        <v>2040</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4352</v>
      </c>
      <c r="N53" s="85" t="s">
        <v>4332</v>
      </c>
    </row>
    <row r="54" spans="1:14" x14ac:dyDescent="0.25">
      <c r="A54" t="s">
        <v>1035</v>
      </c>
      <c r="B54" t="s">
        <v>2040</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4352</v>
      </c>
      <c r="N54" s="85" t="s">
        <v>4332</v>
      </c>
    </row>
    <row r="55" spans="1:14" x14ac:dyDescent="0.25">
      <c r="A55" t="s">
        <v>1036</v>
      </c>
      <c r="B55" t="s">
        <v>2040</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4352</v>
      </c>
      <c r="N55" s="85" t="s">
        <v>4332</v>
      </c>
    </row>
    <row r="56" spans="1:14" x14ac:dyDescent="0.25">
      <c r="A56" t="s">
        <v>4392</v>
      </c>
      <c r="B56" t="s">
        <v>2040</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4352</v>
      </c>
      <c r="N56" s="85" t="s">
        <v>4332</v>
      </c>
    </row>
    <row r="57" spans="1:14" x14ac:dyDescent="0.25">
      <c r="A57" t="s">
        <v>1037</v>
      </c>
      <c r="B57" t="s">
        <v>2040</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4352</v>
      </c>
      <c r="N57" s="85" t="s">
        <v>4332</v>
      </c>
    </row>
    <row r="58" spans="1:14" x14ac:dyDescent="0.25">
      <c r="A58" t="s">
        <v>4397</v>
      </c>
      <c r="B58" t="s">
        <v>4763</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4352</v>
      </c>
      <c r="N58" s="85" t="s">
        <v>4332</v>
      </c>
    </row>
    <row r="59" spans="1:14" x14ac:dyDescent="0.25">
      <c r="A59" t="s">
        <v>1038</v>
      </c>
      <c r="B59" t="s">
        <v>4763</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4352</v>
      </c>
      <c r="N59" s="85" t="s">
        <v>4332</v>
      </c>
    </row>
    <row r="60" spans="1:14" x14ac:dyDescent="0.25">
      <c r="A60" t="s">
        <v>1039</v>
      </c>
      <c r="B60" t="s">
        <v>4763</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4352</v>
      </c>
      <c r="N60" s="85" t="s">
        <v>4332</v>
      </c>
    </row>
    <row r="61" spans="1:14" x14ac:dyDescent="0.25">
      <c r="A61" t="s">
        <v>1040</v>
      </c>
      <c r="B61" t="s">
        <v>4763</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4352</v>
      </c>
      <c r="N61" s="85" t="s">
        <v>4332</v>
      </c>
    </row>
    <row r="62" spans="1:14" s="202" customFormat="1" x14ac:dyDescent="0.25">
      <c r="A62" s="202" t="s">
        <v>4422</v>
      </c>
      <c r="B62" s="202" t="s">
        <v>2040</v>
      </c>
      <c r="C62" s="202" t="s">
        <v>95</v>
      </c>
      <c r="D62" s="202" t="s">
        <v>161</v>
      </c>
      <c r="E62" s="203">
        <v>2023</v>
      </c>
      <c r="F62" s="871">
        <f t="shared" si="16"/>
        <v>3.0010871205830705E-2</v>
      </c>
      <c r="G62" s="871">
        <f t="shared" si="14"/>
        <v>3.3234261591271741E-2</v>
      </c>
      <c r="H62" s="871">
        <f t="shared" si="15"/>
        <v>3.6457651976712781E-2</v>
      </c>
      <c r="I62" s="871">
        <f t="shared" si="15"/>
        <v>3.6457651976712781E-2</v>
      </c>
      <c r="J62" s="871">
        <f t="shared" si="15"/>
        <v>3.6457651976712781E-2</v>
      </c>
      <c r="K62" s="871">
        <f t="shared" si="15"/>
        <v>3.6457651976712781E-2</v>
      </c>
      <c r="L62" s="871">
        <f t="shared" si="15"/>
        <v>3.6457651976712781E-2</v>
      </c>
      <c r="M62" s="240" t="s">
        <v>4352</v>
      </c>
      <c r="N62" s="598" t="s">
        <v>4332</v>
      </c>
    </row>
    <row r="63" spans="1:14" x14ac:dyDescent="0.25">
      <c r="A63" t="s">
        <v>1024</v>
      </c>
      <c r="B63" t="s">
        <v>2041</v>
      </c>
      <c r="C63" t="s">
        <v>95</v>
      </c>
      <c r="D63" t="s">
        <v>161</v>
      </c>
      <c r="E63" s="52">
        <v>2023</v>
      </c>
      <c r="F63" s="108">
        <f>$F$17</f>
        <v>2.480386886575511E-2</v>
      </c>
      <c r="G63" s="108">
        <f t="shared" ref="G63" si="17">$G$17</f>
        <v>2.6242254110702769E-2</v>
      </c>
      <c r="H63" s="108">
        <f t="shared" ref="H63:L63" si="18">$H$17</f>
        <v>2.7680639355650429E-2</v>
      </c>
      <c r="I63" s="108">
        <f t="shared" si="18"/>
        <v>2.7680639355650429E-2</v>
      </c>
      <c r="J63" s="108">
        <f t="shared" si="18"/>
        <v>2.7680639355650429E-2</v>
      </c>
      <c r="K63" s="108">
        <f t="shared" si="18"/>
        <v>2.7680639355650429E-2</v>
      </c>
      <c r="L63" s="108">
        <f t="shared" si="18"/>
        <v>2.7680639355650429E-2</v>
      </c>
      <c r="M63" s="54" t="s">
        <v>4352</v>
      </c>
      <c r="N63" s="85" t="s">
        <v>4332</v>
      </c>
    </row>
    <row r="64" spans="1:14" x14ac:dyDescent="0.25">
      <c r="A64" t="s">
        <v>1041</v>
      </c>
      <c r="B64" t="s">
        <v>2041</v>
      </c>
      <c r="C64" t="s">
        <v>95</v>
      </c>
      <c r="D64" t="s">
        <v>161</v>
      </c>
      <c r="E64" s="52">
        <v>2023</v>
      </c>
      <c r="F64" s="108">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4781</v>
      </c>
      <c r="N64" s="85" t="s">
        <v>4332</v>
      </c>
    </row>
    <row r="65" spans="1:14" x14ac:dyDescent="0.25">
      <c r="A65" t="s">
        <v>1043</v>
      </c>
      <c r="B65" t="s">
        <v>2041</v>
      </c>
      <c r="C65" t="s">
        <v>95</v>
      </c>
      <c r="D65" t="s">
        <v>161</v>
      </c>
      <c r="E65" s="52">
        <v>2023</v>
      </c>
      <c r="F65" s="108">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4781</v>
      </c>
      <c r="N65" s="85" t="s">
        <v>4332</v>
      </c>
    </row>
    <row r="66" spans="1:14" x14ac:dyDescent="0.25">
      <c r="A66" t="s">
        <v>1044</v>
      </c>
      <c r="B66" t="s">
        <v>2041</v>
      </c>
      <c r="C66" t="s">
        <v>95</v>
      </c>
      <c r="D66" t="s">
        <v>161</v>
      </c>
      <c r="E66" s="52">
        <v>2023</v>
      </c>
      <c r="F66" s="108">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4781</v>
      </c>
      <c r="N66" s="85" t="s">
        <v>4332</v>
      </c>
    </row>
    <row r="67" spans="1:14" x14ac:dyDescent="0.25">
      <c r="A67" t="s">
        <v>1071</v>
      </c>
      <c r="B67" t="s">
        <v>2041</v>
      </c>
      <c r="C67" t="s">
        <v>95</v>
      </c>
      <c r="D67" t="s">
        <v>161</v>
      </c>
      <c r="E67" s="52">
        <v>2023</v>
      </c>
      <c r="F67" s="108">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4781</v>
      </c>
      <c r="N67" s="85" t="s">
        <v>4332</v>
      </c>
    </row>
    <row r="68" spans="1:14" x14ac:dyDescent="0.25">
      <c r="A68" t="s">
        <v>1072</v>
      </c>
      <c r="B68" t="s">
        <v>2041</v>
      </c>
      <c r="C68" t="s">
        <v>95</v>
      </c>
      <c r="D68" t="s">
        <v>161</v>
      </c>
      <c r="E68" s="52">
        <v>2023</v>
      </c>
      <c r="F68" s="108">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4781</v>
      </c>
      <c r="N68" s="85" t="s">
        <v>4332</v>
      </c>
    </row>
    <row r="69" spans="1:14" s="202" customFormat="1" x14ac:dyDescent="0.25">
      <c r="A69" s="202" t="s">
        <v>1073</v>
      </c>
      <c r="B69" s="202" t="s">
        <v>2041</v>
      </c>
      <c r="C69" s="202" t="s">
        <v>95</v>
      </c>
      <c r="D69" s="202" t="s">
        <v>161</v>
      </c>
      <c r="E69" s="203">
        <v>2023</v>
      </c>
      <c r="F69" s="871">
        <f t="shared" si="19"/>
        <v>2.480386886575511E-2</v>
      </c>
      <c r="G69" s="871">
        <f t="shared" si="20"/>
        <v>2.6242254110702769E-2</v>
      </c>
      <c r="H69" s="871">
        <f t="shared" si="21"/>
        <v>2.7680639355650429E-2</v>
      </c>
      <c r="I69" s="871">
        <f t="shared" si="21"/>
        <v>2.7680639355650429E-2</v>
      </c>
      <c r="J69" s="871">
        <f t="shared" si="21"/>
        <v>2.7680639355650429E-2</v>
      </c>
      <c r="K69" s="871">
        <f t="shared" si="21"/>
        <v>2.7680639355650429E-2</v>
      </c>
      <c r="L69" s="871">
        <f t="shared" si="21"/>
        <v>2.7680639355650429E-2</v>
      </c>
      <c r="M69" s="240" t="s">
        <v>4781</v>
      </c>
      <c r="N69" s="598" t="s">
        <v>4332</v>
      </c>
    </row>
    <row r="70" spans="1:14" x14ac:dyDescent="0.25">
      <c r="A70" t="s">
        <v>1074</v>
      </c>
      <c r="B70" t="s">
        <v>2042</v>
      </c>
      <c r="C70" t="s">
        <v>95</v>
      </c>
      <c r="D70" t="s">
        <v>161</v>
      </c>
      <c r="E70" s="52">
        <v>2023</v>
      </c>
      <c r="F70" s="108">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4352</v>
      </c>
      <c r="N70" s="85" t="s">
        <v>4332</v>
      </c>
    </row>
    <row r="71" spans="1:14" x14ac:dyDescent="0.25">
      <c r="A71" t="s">
        <v>1075</v>
      </c>
      <c r="B71" t="s">
        <v>2042</v>
      </c>
      <c r="C71" t="s">
        <v>95</v>
      </c>
      <c r="D71" t="s">
        <v>161</v>
      </c>
      <c r="E71" s="52">
        <v>2023</v>
      </c>
      <c r="F71" s="108">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4352</v>
      </c>
      <c r="N71" s="85" t="s">
        <v>4332</v>
      </c>
    </row>
    <row r="72" spans="1:14" x14ac:dyDescent="0.25">
      <c r="A72" t="s">
        <v>1076</v>
      </c>
      <c r="B72" t="s">
        <v>2042</v>
      </c>
      <c r="C72" t="s">
        <v>95</v>
      </c>
      <c r="D72" t="s">
        <v>161</v>
      </c>
      <c r="E72" s="52">
        <v>2023</v>
      </c>
      <c r="F72" s="108">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4352</v>
      </c>
      <c r="N72" s="85" t="s">
        <v>4332</v>
      </c>
    </row>
    <row r="73" spans="1:14" x14ac:dyDescent="0.25">
      <c r="A73" t="s">
        <v>1077</v>
      </c>
      <c r="B73" t="s">
        <v>2042</v>
      </c>
      <c r="C73" t="s">
        <v>95</v>
      </c>
      <c r="D73" t="s">
        <v>161</v>
      </c>
      <c r="E73" s="52">
        <v>2023</v>
      </c>
      <c r="F73" s="108">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4352</v>
      </c>
      <c r="N73" s="85" t="s">
        <v>4332</v>
      </c>
    </row>
    <row r="74" spans="1:14" x14ac:dyDescent="0.25">
      <c r="A74" t="s">
        <v>1078</v>
      </c>
      <c r="B74" t="s">
        <v>2042</v>
      </c>
      <c r="C74" t="s">
        <v>95</v>
      </c>
      <c r="D74" t="s">
        <v>161</v>
      </c>
      <c r="E74" s="52">
        <v>2023</v>
      </c>
      <c r="F74" s="108">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4352</v>
      </c>
      <c r="N74" s="85" t="s">
        <v>4332</v>
      </c>
    </row>
    <row r="75" spans="1:14" s="202" customFormat="1" x14ac:dyDescent="0.25">
      <c r="A75" s="202" t="s">
        <v>1079</v>
      </c>
      <c r="B75" s="202" t="s">
        <v>2042</v>
      </c>
      <c r="C75" s="202" t="s">
        <v>95</v>
      </c>
      <c r="D75" s="202" t="s">
        <v>161</v>
      </c>
      <c r="E75" s="203">
        <v>2023</v>
      </c>
      <c r="F75" s="871">
        <f t="shared" si="24"/>
        <v>0.19108640501455898</v>
      </c>
      <c r="G75" s="871">
        <f t="shared" si="22"/>
        <v>0.20724494237402108</v>
      </c>
      <c r="H75" s="871">
        <f t="shared" si="23"/>
        <v>0.22340347973348315</v>
      </c>
      <c r="I75" s="871">
        <f t="shared" si="23"/>
        <v>0.22340347973348315</v>
      </c>
      <c r="J75" s="871">
        <f t="shared" si="23"/>
        <v>0.22340347973348315</v>
      </c>
      <c r="K75" s="871">
        <f t="shared" si="23"/>
        <v>0.22340347973348315</v>
      </c>
      <c r="L75" s="871">
        <f t="shared" si="23"/>
        <v>0.22340347973348315</v>
      </c>
      <c r="M75" s="240" t="s">
        <v>4352</v>
      </c>
      <c r="N75" s="598" t="s">
        <v>4332</v>
      </c>
    </row>
    <row r="76" spans="1:14" x14ac:dyDescent="0.25">
      <c r="A76" t="s">
        <v>1081</v>
      </c>
      <c r="B76" t="s">
        <v>2043</v>
      </c>
      <c r="C76" t="s">
        <v>95</v>
      </c>
      <c r="D76" t="s">
        <v>161</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4352</v>
      </c>
      <c r="N76" s="85" t="s">
        <v>4332</v>
      </c>
    </row>
    <row r="77" spans="1:14" s="202" customFormat="1" x14ac:dyDescent="0.25">
      <c r="A77" s="202" t="s">
        <v>1082</v>
      </c>
      <c r="B77" s="202" t="s">
        <v>4764</v>
      </c>
      <c r="C77" s="202" t="s">
        <v>95</v>
      </c>
      <c r="D77" s="202" t="s">
        <v>161</v>
      </c>
      <c r="E77" s="203">
        <v>2023</v>
      </c>
      <c r="F77" s="871">
        <f>$F$20</f>
        <v>9.7237402819970557E-3</v>
      </c>
      <c r="G77" s="871">
        <f t="shared" si="25"/>
        <v>9.0476254401721124E-3</v>
      </c>
      <c r="H77" s="871">
        <f t="shared" si="26"/>
        <v>8.3715105983471691E-3</v>
      </c>
      <c r="I77" s="871">
        <f t="shared" si="26"/>
        <v>8.3715105983471691E-3</v>
      </c>
      <c r="J77" s="871">
        <f t="shared" si="26"/>
        <v>8.3715105983471691E-3</v>
      </c>
      <c r="K77" s="871">
        <f t="shared" si="26"/>
        <v>8.3715105983471691E-3</v>
      </c>
      <c r="L77" s="871">
        <f t="shared" si="26"/>
        <v>8.3715105983471691E-3</v>
      </c>
      <c r="M77" s="240" t="s">
        <v>4352</v>
      </c>
      <c r="N77" s="598" t="s">
        <v>4332</v>
      </c>
    </row>
    <row r="78" spans="1:14" x14ac:dyDescent="0.25">
      <c r="A78" t="s">
        <v>1094</v>
      </c>
      <c r="B78" t="s">
        <v>2044</v>
      </c>
      <c r="C78" t="s">
        <v>95</v>
      </c>
      <c r="D78" t="s">
        <v>161</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4352</v>
      </c>
      <c r="N78" s="85" t="s">
        <v>4332</v>
      </c>
    </row>
    <row r="79" spans="1:14" x14ac:dyDescent="0.25">
      <c r="A79" t="s">
        <v>1095</v>
      </c>
      <c r="B79" t="s">
        <v>2044</v>
      </c>
      <c r="C79" t="s">
        <v>95</v>
      </c>
      <c r="D79" t="s">
        <v>161</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4352</v>
      </c>
      <c r="N79" s="85" t="s">
        <v>4332</v>
      </c>
    </row>
    <row r="80" spans="1:14" x14ac:dyDescent="0.25">
      <c r="A80" t="s">
        <v>1096</v>
      </c>
      <c r="B80" t="s">
        <v>2044</v>
      </c>
      <c r="C80" t="s">
        <v>95</v>
      </c>
      <c r="D80" t="s">
        <v>161</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4352</v>
      </c>
      <c r="N80" s="85" t="s">
        <v>4332</v>
      </c>
    </row>
    <row r="81" spans="1:14" x14ac:dyDescent="0.25">
      <c r="A81" t="s">
        <v>1097</v>
      </c>
      <c r="B81" t="s">
        <v>2044</v>
      </c>
      <c r="C81" t="s">
        <v>95</v>
      </c>
      <c r="D81" t="s">
        <v>161</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4352</v>
      </c>
      <c r="N81" s="85" t="s">
        <v>4332</v>
      </c>
    </row>
    <row r="82" spans="1:14" x14ac:dyDescent="0.25">
      <c r="A82" t="s">
        <v>1098</v>
      </c>
      <c r="B82" t="s">
        <v>2044</v>
      </c>
      <c r="C82" t="s">
        <v>95</v>
      </c>
      <c r="D82" t="s">
        <v>161</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4352</v>
      </c>
      <c r="N82" s="85" t="s">
        <v>4332</v>
      </c>
    </row>
    <row r="83" spans="1:14" x14ac:dyDescent="0.25">
      <c r="A83" t="s">
        <v>1099</v>
      </c>
      <c r="B83" t="s">
        <v>2044</v>
      </c>
      <c r="C83" t="s">
        <v>95</v>
      </c>
      <c r="D83" t="s">
        <v>161</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4352</v>
      </c>
      <c r="N83" s="85" t="s">
        <v>4332</v>
      </c>
    </row>
    <row r="84" spans="1:14" x14ac:dyDescent="0.25">
      <c r="A84" t="s">
        <v>1100</v>
      </c>
      <c r="B84" t="s">
        <v>2044</v>
      </c>
      <c r="C84" t="s">
        <v>95</v>
      </c>
      <c r="D84" t="s">
        <v>161</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4352</v>
      </c>
      <c r="N84" s="85" t="s">
        <v>4332</v>
      </c>
    </row>
    <row r="85" spans="1:14" s="202" customFormat="1" x14ac:dyDescent="0.25">
      <c r="A85" s="202" t="s">
        <v>1101</v>
      </c>
      <c r="B85" s="202" t="s">
        <v>2044</v>
      </c>
      <c r="C85" s="202" t="s">
        <v>95</v>
      </c>
      <c r="D85" s="202" t="s">
        <v>161</v>
      </c>
      <c r="E85" s="203">
        <v>2023</v>
      </c>
      <c r="F85" s="871">
        <f t="shared" si="33"/>
        <v>2.5395225485871645E-2</v>
      </c>
      <c r="G85" s="871">
        <f t="shared" si="27"/>
        <v>2.9693898219979697E-2</v>
      </c>
      <c r="H85" s="871">
        <f t="shared" si="28"/>
        <v>3.3992570954087753E-2</v>
      </c>
      <c r="I85" s="871">
        <f t="shared" si="29"/>
        <v>3.3992570954087753E-2</v>
      </c>
      <c r="J85" s="871">
        <f t="shared" si="30"/>
        <v>3.3992570954087753E-2</v>
      </c>
      <c r="K85" s="871">
        <f t="shared" si="31"/>
        <v>3.3992570954087753E-2</v>
      </c>
      <c r="L85" s="871">
        <f t="shared" si="32"/>
        <v>3.3992570954087753E-2</v>
      </c>
      <c r="M85" s="240" t="s">
        <v>4352</v>
      </c>
      <c r="N85" s="598" t="s">
        <v>4332</v>
      </c>
    </row>
    <row r="86" spans="1:14" x14ac:dyDescent="0.25">
      <c r="A86" t="s">
        <v>1102</v>
      </c>
      <c r="B86" t="s">
        <v>2045</v>
      </c>
      <c r="C86" t="s">
        <v>95</v>
      </c>
      <c r="D86" t="s">
        <v>161</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4352</v>
      </c>
      <c r="N86" s="85" t="s">
        <v>4332</v>
      </c>
    </row>
    <row r="87" spans="1:14" x14ac:dyDescent="0.25">
      <c r="A87" t="s">
        <v>1103</v>
      </c>
      <c r="B87" t="s">
        <v>2045</v>
      </c>
      <c r="C87" t="s">
        <v>95</v>
      </c>
      <c r="D87" t="s">
        <v>161</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4352</v>
      </c>
      <c r="N87" s="85" t="s">
        <v>4332</v>
      </c>
    </row>
    <row r="88" spans="1:14" x14ac:dyDescent="0.25">
      <c r="A88" t="s">
        <v>1104</v>
      </c>
      <c r="B88" t="s">
        <v>2045</v>
      </c>
      <c r="C88" t="s">
        <v>95</v>
      </c>
      <c r="D88" t="s">
        <v>161</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4352</v>
      </c>
      <c r="N88" s="85" t="s">
        <v>4332</v>
      </c>
    </row>
    <row r="89" spans="1:14" x14ac:dyDescent="0.25">
      <c r="A89" t="s">
        <v>1105</v>
      </c>
      <c r="B89" t="s">
        <v>2045</v>
      </c>
      <c r="C89" t="s">
        <v>95</v>
      </c>
      <c r="D89" t="s">
        <v>161</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4352</v>
      </c>
      <c r="N89" s="85" t="s">
        <v>4332</v>
      </c>
    </row>
    <row r="90" spans="1:14" x14ac:dyDescent="0.25">
      <c r="A90" t="s">
        <v>1106</v>
      </c>
      <c r="B90" t="s">
        <v>2045</v>
      </c>
      <c r="C90" t="s">
        <v>95</v>
      </c>
      <c r="D90" t="s">
        <v>161</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4352</v>
      </c>
      <c r="N90" s="85" t="s">
        <v>4332</v>
      </c>
    </row>
    <row r="91" spans="1:14" x14ac:dyDescent="0.25">
      <c r="A91" t="s">
        <v>1107</v>
      </c>
      <c r="B91" t="s">
        <v>2045</v>
      </c>
      <c r="C91" t="s">
        <v>95</v>
      </c>
      <c r="D91" t="s">
        <v>161</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4352</v>
      </c>
      <c r="N91" s="85" t="s">
        <v>4332</v>
      </c>
    </row>
    <row r="92" spans="1:14" x14ac:dyDescent="0.25">
      <c r="A92" t="s">
        <v>1108</v>
      </c>
      <c r="B92" t="s">
        <v>2045</v>
      </c>
      <c r="C92" t="s">
        <v>95</v>
      </c>
      <c r="D92" t="s">
        <v>161</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4352</v>
      </c>
      <c r="N92" s="85" t="s">
        <v>4332</v>
      </c>
    </row>
    <row r="93" spans="1:14" s="202" customFormat="1" x14ac:dyDescent="0.25">
      <c r="A93" s="202" t="s">
        <v>1109</v>
      </c>
      <c r="B93" s="202" t="s">
        <v>2045</v>
      </c>
      <c r="C93" s="202" t="s">
        <v>95</v>
      </c>
      <c r="D93" s="202" t="s">
        <v>161</v>
      </c>
      <c r="E93" s="203">
        <v>2023</v>
      </c>
      <c r="F93" s="871">
        <f t="shared" si="40"/>
        <v>3.2679054928412492E-2</v>
      </c>
      <c r="G93" s="871">
        <f t="shared" si="34"/>
        <v>3.8638139532219423E-2</v>
      </c>
      <c r="H93" s="871">
        <f t="shared" si="35"/>
        <v>4.4597224136026355E-2</v>
      </c>
      <c r="I93" s="871">
        <f t="shared" si="36"/>
        <v>4.4597224136026355E-2</v>
      </c>
      <c r="J93" s="871">
        <f t="shared" si="37"/>
        <v>4.4597224136026355E-2</v>
      </c>
      <c r="K93" s="871">
        <f t="shared" si="38"/>
        <v>4.4597224136026355E-2</v>
      </c>
      <c r="L93" s="871">
        <f t="shared" si="39"/>
        <v>4.4597224136026355E-2</v>
      </c>
      <c r="M93" s="240" t="s">
        <v>4352</v>
      </c>
      <c r="N93" s="598" t="s">
        <v>4332</v>
      </c>
    </row>
    <row r="94" spans="1:14" x14ac:dyDescent="0.25">
      <c r="A94" t="s">
        <v>1110</v>
      </c>
      <c r="B94" t="s">
        <v>2046</v>
      </c>
      <c r="C94" t="s">
        <v>95</v>
      </c>
      <c r="D94" t="s">
        <v>161</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4352</v>
      </c>
      <c r="N94" s="85" t="s">
        <v>4332</v>
      </c>
    </row>
    <row r="95" spans="1:14" x14ac:dyDescent="0.25">
      <c r="A95" t="s">
        <v>1111</v>
      </c>
      <c r="B95" t="s">
        <v>2046</v>
      </c>
      <c r="C95" t="s">
        <v>95</v>
      </c>
      <c r="D95" t="s">
        <v>161</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4352</v>
      </c>
      <c r="N95" s="85" t="s">
        <v>4332</v>
      </c>
    </row>
    <row r="96" spans="1:14" x14ac:dyDescent="0.25">
      <c r="A96" t="s">
        <v>1112</v>
      </c>
      <c r="B96" t="s">
        <v>2046</v>
      </c>
      <c r="C96" t="s">
        <v>95</v>
      </c>
      <c r="D96" t="s">
        <v>161</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4352</v>
      </c>
      <c r="N96" s="85" t="s">
        <v>4332</v>
      </c>
    </row>
    <row r="97" spans="1:14" x14ac:dyDescent="0.25">
      <c r="A97" t="s">
        <v>1113</v>
      </c>
      <c r="B97" t="s">
        <v>2046</v>
      </c>
      <c r="C97" t="s">
        <v>95</v>
      </c>
      <c r="D97" t="s">
        <v>161</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4352</v>
      </c>
      <c r="N97" s="85" t="s">
        <v>4332</v>
      </c>
    </row>
    <row r="98" spans="1:14" s="202" customFormat="1" x14ac:dyDescent="0.25">
      <c r="A98" s="202" t="s">
        <v>1114</v>
      </c>
      <c r="B98" s="202" t="s">
        <v>2046</v>
      </c>
      <c r="C98" t="s">
        <v>95</v>
      </c>
      <c r="D98" s="202" t="s">
        <v>161</v>
      </c>
      <c r="E98" s="203">
        <v>2023</v>
      </c>
      <c r="F98" s="871">
        <f t="shared" si="44"/>
        <v>3.5626102304699189E-2</v>
      </c>
      <c r="G98" s="871">
        <f t="shared" si="41"/>
        <v>4.1296921492783426E-2</v>
      </c>
      <c r="H98" s="871">
        <f>$H$28</f>
        <v>4.6967740680867662E-2</v>
      </c>
      <c r="I98" s="871">
        <f t="shared" si="42"/>
        <v>4.6967740680867662E-2</v>
      </c>
      <c r="J98" s="871">
        <f t="shared" si="43"/>
        <v>4.6967740680867662E-2</v>
      </c>
      <c r="K98" s="871">
        <f>$K$28</f>
        <v>4.6967740680867662E-2</v>
      </c>
      <c r="L98" s="871">
        <f>$L$28</f>
        <v>4.6967740680867662E-2</v>
      </c>
      <c r="M98" s="240" t="s">
        <v>4352</v>
      </c>
      <c r="N98" s="598" t="s">
        <v>4332</v>
      </c>
    </row>
    <row r="99" spans="1:14" x14ac:dyDescent="0.25">
      <c r="A99" t="s">
        <v>2884</v>
      </c>
      <c r="B99" t="s">
        <v>2893</v>
      </c>
      <c r="C99" s="234" t="s">
        <v>95</v>
      </c>
      <c r="D99" t="s">
        <v>4634</v>
      </c>
      <c r="E99" s="52">
        <v>2024</v>
      </c>
      <c r="F99" s="108">
        <v>0.95</v>
      </c>
      <c r="G99" s="108">
        <v>0.95</v>
      </c>
      <c r="H99" s="108">
        <v>0.95</v>
      </c>
      <c r="I99" s="108">
        <v>0.95</v>
      </c>
      <c r="J99" s="108">
        <v>0.95</v>
      </c>
      <c r="K99" s="108">
        <v>0.95</v>
      </c>
      <c r="L99" s="958">
        <v>0.95</v>
      </c>
      <c r="M99" s="52" t="s">
        <v>4741</v>
      </c>
    </row>
    <row r="100" spans="1:14" x14ac:dyDescent="0.25">
      <c r="A100" t="s">
        <v>4693</v>
      </c>
      <c r="B100" t="s">
        <v>2893</v>
      </c>
      <c r="C100" t="s">
        <v>95</v>
      </c>
      <c r="D100" t="s">
        <v>4634</v>
      </c>
      <c r="E100" s="52">
        <v>2024</v>
      </c>
      <c r="F100" s="108">
        <v>0.95</v>
      </c>
      <c r="G100" s="108">
        <v>0.95</v>
      </c>
      <c r="H100" s="108">
        <v>0.95</v>
      </c>
      <c r="I100" s="108">
        <v>0.95</v>
      </c>
      <c r="J100" s="108">
        <v>0.95</v>
      </c>
      <c r="K100" s="108">
        <v>0.95</v>
      </c>
      <c r="L100" s="981">
        <v>0.95</v>
      </c>
      <c r="M100" s="52" t="s">
        <v>4741</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AK114" sqref="AK114"/>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7" customWidth="1"/>
    <col min="20" max="23" width="4.42578125" style="377"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58" t="s">
        <v>1003</v>
      </c>
      <c r="L1" s="1059"/>
      <c r="M1" s="1059"/>
      <c r="N1" s="1059"/>
      <c r="O1" s="1059"/>
      <c r="P1" s="1059"/>
      <c r="Q1" s="1060"/>
      <c r="S1" s="1038" t="s">
        <v>147</v>
      </c>
      <c r="T1" s="1039"/>
      <c r="U1" s="1039"/>
      <c r="V1" s="1039"/>
      <c r="W1" s="1039"/>
      <c r="X1" s="1044" t="s">
        <v>2640</v>
      </c>
      <c r="Z1" s="1044" t="s">
        <v>2641</v>
      </c>
      <c r="AK1" s="1093" t="s">
        <v>2150</v>
      </c>
      <c r="AL1" s="1094"/>
      <c r="AM1" s="1094"/>
      <c r="AN1" s="1094"/>
      <c r="AO1" s="1094"/>
      <c r="AP1" s="1094"/>
      <c r="AQ1" s="1094"/>
      <c r="AR1" s="1094"/>
      <c r="AS1" s="1094"/>
      <c r="AT1" s="1095"/>
      <c r="BB1" s="1093" t="s">
        <v>2148</v>
      </c>
      <c r="BC1" s="1094"/>
      <c r="BD1" s="1094"/>
      <c r="BE1" s="1094"/>
      <c r="BF1" s="1094"/>
      <c r="BG1" s="1094"/>
      <c r="BH1" s="1095"/>
    </row>
    <row r="2" spans="1:61"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27">
        <v>2021</v>
      </c>
      <c r="L2" s="722">
        <v>2025</v>
      </c>
      <c r="M2" s="722">
        <v>2030</v>
      </c>
      <c r="N2" s="722">
        <v>2035</v>
      </c>
      <c r="O2" s="722">
        <v>2040</v>
      </c>
      <c r="P2" s="722">
        <v>2045</v>
      </c>
      <c r="Q2" s="722">
        <v>2050</v>
      </c>
      <c r="R2" s="727" t="s">
        <v>91</v>
      </c>
      <c r="S2" s="727" t="s">
        <v>148</v>
      </c>
      <c r="T2" s="722" t="s">
        <v>152</v>
      </c>
      <c r="U2" s="722" t="s">
        <v>149</v>
      </c>
      <c r="V2" s="722" t="s">
        <v>150</v>
      </c>
      <c r="W2" s="722" t="s">
        <v>151</v>
      </c>
      <c r="X2" s="1044"/>
      <c r="Y2" s="735"/>
      <c r="Z2" s="1044"/>
      <c r="AA2" s="1074" t="s">
        <v>4051</v>
      </c>
      <c r="AB2" s="1074"/>
      <c r="AC2" s="1074"/>
      <c r="AD2" s="1074"/>
      <c r="AE2" s="1074"/>
      <c r="AF2" s="1074"/>
      <c r="AG2" s="1074"/>
      <c r="AH2" s="1074"/>
      <c r="AI2" s="736"/>
      <c r="AK2" s="1111" t="s">
        <v>1917</v>
      </c>
      <c r="AL2" s="1074"/>
      <c r="AM2" s="1074"/>
      <c r="AN2" s="1074"/>
      <c r="AO2" s="1074"/>
      <c r="AP2" s="1074"/>
      <c r="AQ2" s="1074"/>
      <c r="AR2" s="1074"/>
      <c r="AS2" s="736"/>
      <c r="AT2" s="737"/>
      <c r="BB2" s="741" t="s">
        <v>2920</v>
      </c>
      <c r="BF2" s="415" t="s">
        <v>2921</v>
      </c>
      <c r="BH2" s="737"/>
    </row>
    <row r="3" spans="1:61" ht="16.5" thickTop="1" thickBot="1" x14ac:dyDescent="0.3">
      <c r="A3" t="s">
        <v>1004</v>
      </c>
      <c r="B3" t="s">
        <v>95</v>
      </c>
      <c r="C3" t="s">
        <v>4050</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4056</v>
      </c>
      <c r="S3" s="717">
        <v>3</v>
      </c>
      <c r="T3" s="377">
        <v>1</v>
      </c>
      <c r="U3" s="377">
        <v>1</v>
      </c>
      <c r="V3" s="377">
        <v>3</v>
      </c>
      <c r="W3" s="377">
        <v>1</v>
      </c>
      <c r="X3" s="1044"/>
      <c r="Z3" s="1044"/>
      <c r="AA3" s="88" t="s">
        <v>246</v>
      </c>
      <c r="AB3" s="88">
        <v>2023</v>
      </c>
      <c r="AC3" s="88">
        <v>2025</v>
      </c>
      <c r="AD3" s="88">
        <v>2030</v>
      </c>
      <c r="AE3" s="88">
        <v>2035</v>
      </c>
      <c r="AF3" s="83" t="s">
        <v>922</v>
      </c>
      <c r="AG3" s="83" t="s">
        <v>923</v>
      </c>
      <c r="AH3" s="88">
        <v>2050</v>
      </c>
      <c r="AI3" s="28" t="s">
        <v>3049</v>
      </c>
      <c r="AK3" s="232" t="s">
        <v>246</v>
      </c>
      <c r="AL3" s="88">
        <v>2023</v>
      </c>
      <c r="AM3" s="88">
        <v>2025</v>
      </c>
      <c r="AN3" s="88">
        <v>2030</v>
      </c>
      <c r="AO3" s="88">
        <v>2035</v>
      </c>
      <c r="AP3" s="83" t="s">
        <v>922</v>
      </c>
      <c r="AQ3" s="83" t="s">
        <v>923</v>
      </c>
      <c r="AR3" s="88">
        <v>2050</v>
      </c>
      <c r="AS3" s="28" t="s">
        <v>3049</v>
      </c>
      <c r="AT3" s="63"/>
      <c r="BB3" s="232" t="s">
        <v>576</v>
      </c>
      <c r="BC3" s="104">
        <v>2015</v>
      </c>
      <c r="BD3" s="104">
        <v>2030</v>
      </c>
      <c r="BF3" s="322" t="s">
        <v>1668</v>
      </c>
      <c r="BG3" s="88" t="s">
        <v>1669</v>
      </c>
      <c r="BH3" s="378" t="s">
        <v>1670</v>
      </c>
      <c r="BI3" s="410" t="s">
        <v>1695</v>
      </c>
    </row>
    <row r="4" spans="1:61" ht="16.5" thickTop="1" thickBot="1" x14ac:dyDescent="0.3">
      <c r="A4" t="s">
        <v>1005</v>
      </c>
      <c r="B4" t="s">
        <v>95</v>
      </c>
      <c r="C4" t="s">
        <v>4050</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4056</v>
      </c>
      <c r="S4" s="717">
        <v>3</v>
      </c>
      <c r="T4" s="377">
        <v>1</v>
      </c>
      <c r="U4" s="377">
        <v>1</v>
      </c>
      <c r="V4" s="377">
        <v>3</v>
      </c>
      <c r="W4" s="377">
        <v>1</v>
      </c>
      <c r="X4" s="1044"/>
      <c r="Z4" s="1044"/>
      <c r="AA4" s="28" t="s">
        <v>3029</v>
      </c>
      <c r="AK4" s="379" t="s">
        <v>17</v>
      </c>
      <c r="AT4" s="63"/>
      <c r="BB4" s="379" t="s">
        <v>1641</v>
      </c>
      <c r="BF4" t="s">
        <v>1671</v>
      </c>
      <c r="BG4" s="412">
        <f>'Background Data'!AP152/('Background Data'!C123/1000)</f>
        <v>132.65616258154392</v>
      </c>
      <c r="BH4" s="413">
        <f>'Background Data'!AN152/('Background Data'!C123/1000)</f>
        <v>12.0106782051556</v>
      </c>
      <c r="BI4" s="411">
        <f>BG5/BG4</f>
        <v>4.0232441547850994</v>
      </c>
    </row>
    <row r="5" spans="1:61" x14ac:dyDescent="0.25">
      <c r="A5" t="s">
        <v>1006</v>
      </c>
      <c r="B5" t="s">
        <v>95</v>
      </c>
      <c r="C5" t="s">
        <v>4050</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4056</v>
      </c>
      <c r="S5" s="717">
        <v>3</v>
      </c>
      <c r="T5" s="377">
        <v>1</v>
      </c>
      <c r="U5" s="377">
        <v>1</v>
      </c>
      <c r="V5" s="377">
        <v>3</v>
      </c>
      <c r="W5" s="377">
        <v>1</v>
      </c>
      <c r="X5" s="1044"/>
      <c r="Z5" s="1044"/>
      <c r="AA5" s="17" t="s">
        <v>890</v>
      </c>
      <c r="AB5" s="195" cm="1">
        <f t="array" ref="AB5">AVERAGE(_xlfn._xlws.FILTER('Autonomie 2023 LDV'!$AH:$AH, ('Autonomie 2023 LDV'!$A:$A=$AA5)*('Autonomie 2023 LDV'!$B:$B=AB$3)*('Autonomie 2023 LDV'!$D:$D="Compact")))</f>
        <v>17581.93523525813</v>
      </c>
      <c r="AC5" s="195" cm="1">
        <f t="array" ref="AC5">AVERAGE(_xlfn._xlws.FILTER('Autonomie 2023 LDV'!$AH:$AH, ('Autonomie 2023 LDV'!$A:$A=$AA5)*('Autonomie 2023 LDV'!$B:$B=AC$3)*('Autonomie 2023 LDV'!$D:$D="Compact")))</f>
        <v>17557.242878261997</v>
      </c>
      <c r="AD5" s="195" cm="1">
        <f t="array" ref="AD5">AVERAGE(_xlfn._xlws.FILTER('Autonomie 2023 LDV'!$AH:$AH, ('Autonomie 2023 LDV'!$A:$A=$AA5)*('Autonomie 2023 LDV'!$B:$B=AD$3)*('Autonomie 2023 LDV'!$D:$D="Compact")))</f>
        <v>17985.621523241301</v>
      </c>
      <c r="AE5" s="195" cm="1">
        <f t="array" ref="AE5">AVERAGE(_xlfn._xlws.FILTER('Autonomie 2023 LDV'!$AH:$AH,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LDV'!$AH:$AH, ('Autonomie 2023 LDV'!$A:$A=$AA5)*('Autonomie 2023 LDV'!$B:$B=AH$3)*('Autonomie 2023 LDV'!$D:$D="Compact")))</f>
        <v>18746.653091233562</v>
      </c>
      <c r="AI5" s="85">
        <f>(AH5-AB5)/AB5</f>
        <v>6.6245145394447369E-2</v>
      </c>
      <c r="AK5" s="381" t="s">
        <v>890</v>
      </c>
      <c r="AL5" s="406">
        <f t="shared" ref="AL5:AL15" si="9">AB5*$AB$137+AB18*$AB$138</f>
        <v>19357.210963469974</v>
      </c>
      <c r="AM5" s="406">
        <f t="shared" ref="AM5:AM15" si="10">AC5*$AB$137+AC18*$AB$138</f>
        <v>19336.826198840998</v>
      </c>
      <c r="AN5" s="406">
        <f t="shared" ref="AN5:AN15" si="11">AD5*$AB$137+AD18*$AB$138</f>
        <v>19835.168417254004</v>
      </c>
      <c r="AO5" s="406">
        <f t="shared" ref="AO5:AO15" si="12">AE5*$AB$137+AE18*$AB$138</f>
        <v>20871.24051542312</v>
      </c>
      <c r="AP5" s="406">
        <f t="shared" ref="AP5:AP15" si="13">AF5*$AB$137+AF18*$AB$138</f>
        <v>20837.751906706457</v>
      </c>
      <c r="AQ5" s="406">
        <f t="shared" ref="AQ5:AQ15" si="14">AG5*$AB$137+AG18*$AB$138</f>
        <v>20804.26329798979</v>
      </c>
      <c r="AR5" s="406">
        <f t="shared" ref="AR5:AR15" si="15">AH5*$AB$137+AH18*$AB$138</f>
        <v>20770.774689273127</v>
      </c>
      <c r="AS5" s="114">
        <f>(AR5-AL5)/AL5</f>
        <v>7.3025175396949721E-2</v>
      </c>
      <c r="AT5" s="63"/>
      <c r="BB5" s="381" t="s">
        <v>643</v>
      </c>
      <c r="BC5" s="412">
        <f>'OEO &amp; EPAUS9rT Data'!H6/km_mile*USD2018_to_CAD2020</f>
        <v>676.77562220892833</v>
      </c>
      <c r="BD5" s="412"/>
      <c r="BF5" s="323" t="s">
        <v>1672</v>
      </c>
      <c r="BG5" s="324">
        <f>'Background Data'!AP164/('Background Data'!C124/1000)</f>
        <v>533.70813070241843</v>
      </c>
      <c r="BH5" s="414">
        <f>'Background Data'!AN164/('Background Data'!C124/1000)</f>
        <v>46.663475560971456</v>
      </c>
    </row>
    <row r="6" spans="1:61" ht="14.45" customHeight="1" x14ac:dyDescent="0.25">
      <c r="A6" t="s">
        <v>1007</v>
      </c>
      <c r="B6" t="s">
        <v>95</v>
      </c>
      <c r="C6" t="s">
        <v>4050</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4056</v>
      </c>
      <c r="S6" s="717">
        <v>3</v>
      </c>
      <c r="T6" s="377">
        <v>1</v>
      </c>
      <c r="U6" s="377">
        <v>1</v>
      </c>
      <c r="V6" s="377">
        <v>3</v>
      </c>
      <c r="W6" s="377">
        <v>1</v>
      </c>
      <c r="X6" s="1044"/>
      <c r="Z6" s="1044"/>
      <c r="AA6" s="17" t="s">
        <v>887</v>
      </c>
      <c r="AB6" s="195" cm="1">
        <f t="array" ref="AB6">AVERAGE(_xlfn._xlws.FILTER('Autonomie 2023 LDV'!$AH:$AH, ('Autonomie 2023 LDV'!$A:$A=$AA6)*('Autonomie 2023 LDV'!$B:$B=AB$3)*('Autonomie 2023 LDV'!$D:$D="Compact")))</f>
        <v>21820.521292085967</v>
      </c>
      <c r="AC6" s="195" cm="1">
        <f t="array" ref="AC6">AVERAGE(_xlfn._xlws.FILTER('Autonomie 2023 LDV'!$AH:$AH, ('Autonomie 2023 LDV'!$A:$A=$AA6)*('Autonomie 2023 LDV'!$B:$B=AC$3)*('Autonomie 2023 LDV'!$D:$D="Compact")))</f>
        <v>21746.634404201803</v>
      </c>
      <c r="AD6" s="195" cm="1">
        <f t="array" ref="AD6">AVERAGE(_xlfn._xlws.FILTER('Autonomie 2023 LDV'!$AH:$AH, ('Autonomie 2023 LDV'!$A:$A=$AA6)*('Autonomie 2023 LDV'!$B:$B=AD$3)*('Autonomie 2023 LDV'!$D:$D="Compact")))</f>
        <v>21793.891018771352</v>
      </c>
      <c r="AE6" s="195" cm="1">
        <f t="array" ref="AE6">AVERAGE(_xlfn._xlws.FILTER('Autonomie 2023 LDV'!$AH:$AH,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LDV'!$AH:$AH, ('Autonomie 2023 LDV'!$A:$A=$AA6)*('Autonomie 2023 LDV'!$B:$B=AH$3)*('Autonomie 2023 LDV'!$D:$D="Compact")))</f>
        <v>21725.686687418773</v>
      </c>
      <c r="AI6" s="85">
        <f t="shared" ref="AI6:AI15" si="17">(AH6-AB6)/AB6</f>
        <v>-4.3461200306699095E-3</v>
      </c>
      <c r="AK6" s="381" t="s">
        <v>887</v>
      </c>
      <c r="AL6" s="406">
        <f t="shared" si="9"/>
        <v>23246.03589826369</v>
      </c>
      <c r="AM6" s="406">
        <f t="shared" si="10"/>
        <v>23176.770131338642</v>
      </c>
      <c r="AN6" s="406">
        <f t="shared" si="11"/>
        <v>23227.878349326904</v>
      </c>
      <c r="AO6" s="406">
        <f t="shared" si="12"/>
        <v>23263.814890877911</v>
      </c>
      <c r="AP6" s="406">
        <f t="shared" si="13"/>
        <v>23229.912083456828</v>
      </c>
      <c r="AQ6" s="406">
        <f t="shared" si="14"/>
        <v>23196.009276035744</v>
      </c>
      <c r="AR6" s="406">
        <f t="shared" si="15"/>
        <v>23162.106468614656</v>
      </c>
      <c r="AS6" s="114">
        <f t="shared" ref="AS6:AS28" si="18">(AR6-AL6)/AL6</f>
        <v>-3.6104835257224363E-3</v>
      </c>
      <c r="AT6" s="63"/>
      <c r="BB6" s="381" t="s">
        <v>645</v>
      </c>
      <c r="BC6" s="412">
        <f>'OEO &amp; EPAUS9rT Data'!H10/km_mile*USD2018_to_CAD2020</f>
        <v>677.54794197915021</v>
      </c>
      <c r="BD6" s="412"/>
      <c r="BF6" s="415" t="s">
        <v>1696</v>
      </c>
      <c r="BG6" s="206">
        <f>BC5*BI4</f>
        <v>2722.8335661531196</v>
      </c>
      <c r="BH6" s="416"/>
    </row>
    <row r="7" spans="1:61" x14ac:dyDescent="0.25">
      <c r="A7" t="s">
        <v>4390</v>
      </c>
      <c r="B7" t="s">
        <v>95</v>
      </c>
      <c r="C7" t="s">
        <v>4050</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4056</v>
      </c>
      <c r="S7" s="717">
        <v>3</v>
      </c>
      <c r="T7" s="377">
        <v>1</v>
      </c>
      <c r="U7" s="377">
        <v>1</v>
      </c>
      <c r="V7" s="377">
        <v>3</v>
      </c>
      <c r="W7" s="377">
        <v>1</v>
      </c>
      <c r="X7" s="1044"/>
      <c r="Z7" s="1044"/>
      <c r="AA7" s="17" t="s">
        <v>889</v>
      </c>
      <c r="AB7" s="195" cm="1">
        <f t="array" ref="AB7">AVERAGE(_xlfn._xlws.FILTER('Autonomie 2023 LDV'!$AH:$AH, ('Autonomie 2023 LDV'!$A:$A=$AA7)*('Autonomie 2023 LDV'!$B:$B=AB$3)*('Autonomie 2023 LDV'!$D:$D="Compact")))</f>
        <v>23425.803092540864</v>
      </c>
      <c r="AC7" s="195" cm="1">
        <f t="array" ref="AC7">AVERAGE(_xlfn._xlws.FILTER('Autonomie 2023 LDV'!$AH:$AH, ('Autonomie 2023 LDV'!$A:$A=$AA7)*('Autonomie 2023 LDV'!$B:$B=AC$3)*('Autonomie 2023 LDV'!$D:$D="Compact")))</f>
        <v>23339.5881771202</v>
      </c>
      <c r="AD7" s="195" cm="1">
        <f t="array" ref="AD7">AVERAGE(_xlfn._xlws.FILTER('Autonomie 2023 LDV'!$AH:$AH, ('Autonomie 2023 LDV'!$A:$A=$AA7)*('Autonomie 2023 LDV'!$B:$B=AD$3)*('Autonomie 2023 LDV'!$D:$D="Compact")))</f>
        <v>23349.058285910094</v>
      </c>
      <c r="AE7" s="195" cm="1">
        <f t="array" ref="AE7">AVERAGE(_xlfn._xlws.FILTER('Autonomie 2023 LDV'!$AH:$AH, ('Autonomie 2023 LDV'!$A:$A=$AA7)*('Autonomie 2023 LDV'!$B:$B=AE$3)*('Autonomie 2023 LDV'!$D:$D="Compact")))</f>
        <v>23405.234947214445</v>
      </c>
      <c r="AF7" s="195">
        <f t="shared" si="16"/>
        <v>23371.382090068222</v>
      </c>
      <c r="AG7" s="195">
        <f t="shared" si="8"/>
        <v>23337.529232921999</v>
      </c>
      <c r="AH7" s="195" cm="1">
        <f t="array" ref="AH7">AVERAGE(_xlfn._xlws.FILTER('Autonomie 2023 LDV'!$AH:$AH, ('Autonomie 2023 LDV'!$A:$A=$AA7)*('Autonomie 2023 LDV'!$B:$B=AH$3)*('Autonomie 2023 LDV'!$D:$D="Compact")))</f>
        <v>23303.67637577578</v>
      </c>
      <c r="AI7" s="85">
        <f t="shared" si="17"/>
        <v>-5.2133417276085193E-3</v>
      </c>
      <c r="AK7" s="381" t="s">
        <v>889</v>
      </c>
      <c r="AL7" s="406">
        <f t="shared" si="9"/>
        <v>25201.646495168417</v>
      </c>
      <c r="AM7" s="406">
        <f t="shared" si="10"/>
        <v>25118.686074204659</v>
      </c>
      <c r="AN7" s="406">
        <f t="shared" si="11"/>
        <v>25131.396129262073</v>
      </c>
      <c r="AO7" s="406">
        <f t="shared" si="12"/>
        <v>25187.466695999185</v>
      </c>
      <c r="AP7" s="406">
        <f t="shared" si="13"/>
        <v>25154.0330573299</v>
      </c>
      <c r="AQ7" s="406">
        <f t="shared" si="14"/>
        <v>25120.599418660611</v>
      </c>
      <c r="AR7" s="406">
        <f t="shared" si="15"/>
        <v>25087.16577999133</v>
      </c>
      <c r="AS7" s="114">
        <f t="shared" si="18"/>
        <v>-4.5425887232818417E-3</v>
      </c>
      <c r="AT7" s="63"/>
      <c r="BB7" s="381" t="s">
        <v>648</v>
      </c>
      <c r="BC7" s="412">
        <f>'OEO &amp; EPAUS9rT Data'!H8/km_mile*USD2018_to_CAD2020</f>
        <v>681.88722056398058</v>
      </c>
      <c r="BD7" s="412"/>
      <c r="BF7" s="417" t="s">
        <v>1676</v>
      </c>
      <c r="BG7" s="382"/>
      <c r="BH7" s="383"/>
    </row>
    <row r="8" spans="1:61" x14ac:dyDescent="0.25">
      <c r="A8" t="s">
        <v>1009</v>
      </c>
      <c r="B8" t="s">
        <v>95</v>
      </c>
      <c r="C8" t="s">
        <v>4050</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4056</v>
      </c>
      <c r="S8" s="717">
        <v>3</v>
      </c>
      <c r="T8" s="377">
        <v>1</v>
      </c>
      <c r="U8" s="377">
        <v>1</v>
      </c>
      <c r="V8" s="377">
        <v>3</v>
      </c>
      <c r="W8" s="377">
        <v>1</v>
      </c>
      <c r="X8" s="1044"/>
      <c r="Z8" s="1044"/>
      <c r="AA8" s="17" t="s">
        <v>3001</v>
      </c>
      <c r="AB8" s="195" cm="1">
        <f t="array" ref="AB8">AVERAGE(_xlfn._xlws.FILTER('Autonomie 2023 LDV'!$AH:$AH, ('Autonomie 2023 LDV'!$A:$A=$AA8)*('Autonomie 2023 LDV'!$B:$B=AB$3)*('Autonomie 2023 LDV'!$D:$D="Compact")))</f>
        <v>19855.466570166456</v>
      </c>
      <c r="AC8" s="195" cm="1">
        <f t="array" ref="AC8">AVERAGE(_xlfn._xlws.FILTER('Autonomie 2023 LDV'!$AH:$AH, ('Autonomie 2023 LDV'!$A:$A=$AA8)*('Autonomie 2023 LDV'!$B:$B=AC$3)*('Autonomie 2023 LDV'!$D:$D="Compact")))</f>
        <v>19276.632413249201</v>
      </c>
      <c r="AD8" s="195" cm="1">
        <f t="array" ref="AD8">AVERAGE(_xlfn._xlws.FILTER('Autonomie 2023 LDV'!$AH:$AH, ('Autonomie 2023 LDV'!$A:$A=$AA8)*('Autonomie 2023 LDV'!$B:$B=AD$3)*('Autonomie 2023 LDV'!$D:$D="Compact")))</f>
        <v>18702.076594785187</v>
      </c>
      <c r="AE8" s="195" cm="1">
        <f t="array" ref="AE8">AVERAGE(_xlfn._xlws.FILTER('Autonomie 2023 LDV'!$AH:$AH, ('Autonomie 2023 LDV'!$A:$A=$AA8)*('Autonomie 2023 LDV'!$B:$B=AE$3)*('Autonomie 2023 LDV'!$D:$D="Compact")))</f>
        <v>18339.482345310076</v>
      </c>
      <c r="AF8" s="195">
        <f t="shared" si="16"/>
        <v>18082.892963138664</v>
      </c>
      <c r="AG8" s="195">
        <f t="shared" si="8"/>
        <v>17826.303580967251</v>
      </c>
      <c r="AH8" s="195" cm="1">
        <f t="array" ref="AH8">AVERAGE(_xlfn._xlws.FILTER('Autonomie 2023 LDV'!$AH:$AH, ('Autonomie 2023 LDV'!$A:$A=$AA8)*('Autonomie 2023 LDV'!$B:$B=AH$3)*('Autonomie 2023 LDV'!$D:$D="Compact")))</f>
        <v>17569.714198795838</v>
      </c>
      <c r="AI8" s="85">
        <f t="shared" si="17"/>
        <v>-0.11511954973674816</v>
      </c>
      <c r="AK8" s="381" t="s">
        <v>3001</v>
      </c>
      <c r="AL8" s="406">
        <f t="shared" si="9"/>
        <v>22054.385466150958</v>
      </c>
      <c r="AM8" s="406">
        <f t="shared" si="10"/>
        <v>21419.410344550357</v>
      </c>
      <c r="AN8" s="406">
        <f t="shared" si="11"/>
        <v>20791.013669236072</v>
      </c>
      <c r="AO8" s="406">
        <f t="shared" si="12"/>
        <v>20400.496743659933</v>
      </c>
      <c r="AP8" s="406">
        <f t="shared" si="13"/>
        <v>20127.968206596881</v>
      </c>
      <c r="AQ8" s="406">
        <f t="shared" si="14"/>
        <v>19855.439669533829</v>
      </c>
      <c r="AR8" s="406">
        <f t="shared" si="15"/>
        <v>19582.911132470777</v>
      </c>
      <c r="AS8" s="114">
        <f t="shared" si="18"/>
        <v>-0.11206271593798865</v>
      </c>
      <c r="AT8" s="63"/>
      <c r="BB8" s="381" t="s">
        <v>644</v>
      </c>
      <c r="BC8" s="412"/>
      <c r="BD8" s="412">
        <f>'OEO &amp; EPAUS9rT Data'!H12/km_mile*USD2018_to_CAD2020</f>
        <v>744.45318442982102</v>
      </c>
      <c r="BF8" s="382"/>
      <c r="BG8" s="382"/>
      <c r="BH8" s="383"/>
    </row>
    <row r="9" spans="1:61" x14ac:dyDescent="0.25">
      <c r="A9" t="s">
        <v>4395</v>
      </c>
      <c r="B9" t="s">
        <v>95</v>
      </c>
      <c r="C9" t="s">
        <v>4050</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4056</v>
      </c>
      <c r="S9" s="717">
        <v>3</v>
      </c>
      <c r="T9" s="377">
        <v>1</v>
      </c>
      <c r="U9" s="377">
        <v>1</v>
      </c>
      <c r="V9" s="377">
        <v>3</v>
      </c>
      <c r="W9" s="377">
        <v>1</v>
      </c>
      <c r="X9" s="1044"/>
      <c r="Z9" s="1044"/>
      <c r="AA9" s="17" t="s">
        <v>4423</v>
      </c>
      <c r="AB9" s="195" cm="1">
        <f t="array" ref="AB9">AVERAGE(_xlfn._xlws.FILTER('Autonomie 2023 LDV'!$AH:$AH, ('Autonomie 2023 LDV'!$A:$A=$AA9)*('Autonomie 2023 LDV'!$B:$B=AB$3)*('Autonomie 2023 LDV'!$D:$D="Compact")))</f>
        <v>23970.541412945357</v>
      </c>
      <c r="AC9" s="195" cm="1">
        <f t="array" ref="AC9">AVERAGE(_xlfn._xlws.FILTER('Autonomie 2023 LDV'!$AH:$AH, ('Autonomie 2023 LDV'!$A:$A=$AA9)*('Autonomie 2023 LDV'!$B:$B=AC$3)*('Autonomie 2023 LDV'!$D:$D="Compact")))</f>
        <v>23114.601655743583</v>
      </c>
      <c r="AD9" s="195" cm="1">
        <f t="array" ref="AD9">AVERAGE(_xlfn._xlws.FILTER('Autonomie 2023 LDV'!$AH:$AH, ('Autonomie 2023 LDV'!$A:$A=$AA9)*('Autonomie 2023 LDV'!$B:$B=AD$3)*('Autonomie 2023 LDV'!$D:$D="Compact")))</f>
        <v>22389.170245928861</v>
      </c>
      <c r="AE9" s="195" cm="1">
        <f t="array" ref="AE9">AVERAGE(_xlfn._xlws.FILTER('Autonomie 2023 LDV'!$AH:$AH, ('Autonomie 2023 LDV'!$A:$A=$AA9)*('Autonomie 2023 LDV'!$B:$B=AE$3)*('Autonomie 2023 LDV'!$D:$D="Compact")))</f>
        <v>22533.200295861956</v>
      </c>
      <c r="AF9" s="195">
        <f t="shared" si="16"/>
        <v>22225.016422353652</v>
      </c>
      <c r="AG9" s="195">
        <f t="shared" si="8"/>
        <v>21916.832548845348</v>
      </c>
      <c r="AH9" s="195" cm="1">
        <f t="array" ref="AH9">AVERAGE(_xlfn._xlws.FILTER('Autonomie 2023 LDV'!$AH:$AH, ('Autonomie 2023 LDV'!$A:$A=$AA9)*('Autonomie 2023 LDV'!$B:$B=AH$3)*('Autonomie 2023 LDV'!$D:$D="Compact")))</f>
        <v>21608.648675337048</v>
      </c>
      <c r="AI9" s="85">
        <f t="shared" si="17"/>
        <v>-9.8533141030046234E-2</v>
      </c>
      <c r="AK9" s="381" t="s">
        <v>4423</v>
      </c>
      <c r="AL9" s="406">
        <f t="shared" si="9"/>
        <v>25342.818186100143</v>
      </c>
      <c r="AM9" s="406">
        <f t="shared" si="10"/>
        <v>24613.106220409776</v>
      </c>
      <c r="AN9" s="406">
        <f t="shared" si="11"/>
        <v>23907.245983857181</v>
      </c>
      <c r="AO9" s="406">
        <f t="shared" si="12"/>
        <v>24036.746462321473</v>
      </c>
      <c r="AP9" s="406">
        <f t="shared" si="13"/>
        <v>23722.867043446604</v>
      </c>
      <c r="AQ9" s="406">
        <f t="shared" si="14"/>
        <v>23408.987624571731</v>
      </c>
      <c r="AR9" s="406">
        <f t="shared" si="15"/>
        <v>23095.108205696866</v>
      </c>
      <c r="AS9" s="114">
        <f t="shared" si="18"/>
        <v>-8.8692187423578872E-2</v>
      </c>
      <c r="AT9" s="63"/>
      <c r="BB9" s="381" t="s">
        <v>646</v>
      </c>
      <c r="BC9" s="412">
        <f>'OEO &amp; EPAUS9rT Data'!H14/km_mile*USD2018_to_CAD2020</f>
        <v>772.39686305246107</v>
      </c>
      <c r="BD9" s="412"/>
      <c r="BF9" s="382"/>
      <c r="BG9" s="382"/>
      <c r="BH9" s="383"/>
    </row>
    <row r="10" spans="1:61" x14ac:dyDescent="0.25">
      <c r="A10" t="s">
        <v>1010</v>
      </c>
      <c r="B10" t="s">
        <v>95</v>
      </c>
      <c r="C10" t="s">
        <v>4050</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4056</v>
      </c>
      <c r="S10" s="717">
        <v>3</v>
      </c>
      <c r="T10" s="377">
        <v>1</v>
      </c>
      <c r="U10" s="377">
        <v>1</v>
      </c>
      <c r="V10" s="377">
        <v>3</v>
      </c>
      <c r="W10" s="377">
        <v>1</v>
      </c>
      <c r="X10" s="1044"/>
      <c r="Z10" s="1044"/>
      <c r="AA10" s="17" t="s">
        <v>4424</v>
      </c>
      <c r="AB10" s="195" cm="1">
        <f t="array" ref="AB10">AVERAGE(_xlfn._xlws.FILTER('Autonomie 2023 LDV'!$AH:$AH, ('Autonomie 2023 LDV'!$A:$A=$AA10)*('Autonomie 2023 LDV'!$B:$B=AB$3)*('Autonomie 2023 LDV'!$D:$D="Compact")))</f>
        <v>25608.847565007</v>
      </c>
      <c r="AC10" s="195" cm="1">
        <f t="array" ref="AC10">AVERAGE(_xlfn._xlws.FILTER('Autonomie 2023 LDV'!$AH:$AH, ('Autonomie 2023 LDV'!$A:$A=$AA10)*('Autonomie 2023 LDV'!$B:$B=AC$3)*('Autonomie 2023 LDV'!$D:$D="Compact")))</f>
        <v>24513.144947676534</v>
      </c>
      <c r="AD10" s="195" cm="1">
        <f t="array" ref="AD10">AVERAGE(_xlfn._xlws.FILTER('Autonomie 2023 LDV'!$AH:$AH, ('Autonomie 2023 LDV'!$A:$A=$AA10)*('Autonomie 2023 LDV'!$B:$B=AD$3)*('Autonomie 2023 LDV'!$D:$D="Compact")))</f>
        <v>23592.364400765353</v>
      </c>
      <c r="AE10" s="195" cm="1">
        <f t="array" ref="AE10">AVERAGE(_xlfn._xlws.FILTER('Autonomie 2023 LDV'!$AH:$AH, ('Autonomie 2023 LDV'!$A:$A=$AA10)*('Autonomie 2023 LDV'!$B:$B=AE$3)*('Autonomie 2023 LDV'!$D:$D="Compact")))</f>
        <v>23460.040738394306</v>
      </c>
      <c r="AF10" s="195">
        <f t="shared" si="16"/>
        <v>23081.313203128288</v>
      </c>
      <c r="AG10" s="195">
        <f t="shared" si="8"/>
        <v>22702.585667862269</v>
      </c>
      <c r="AH10" s="195" cm="1">
        <f t="array" ref="AH10">AVERAGE(_xlfn._xlws.FILTER('Autonomie 2023 LDV'!$AH:$AH, ('Autonomie 2023 LDV'!$A:$A=$AA10)*('Autonomie 2023 LDV'!$B:$B=AH$3)*('Autonomie 2023 LDV'!$D:$D="Compact")))</f>
        <v>22323.858132596248</v>
      </c>
      <c r="AI10" s="85">
        <f t="shared" si="17"/>
        <v>-0.12827556664047229</v>
      </c>
      <c r="AK10" s="381" t="s">
        <v>4424</v>
      </c>
      <c r="AL10" s="406">
        <f t="shared" si="9"/>
        <v>27124.385026999531</v>
      </c>
      <c r="AM10" s="406">
        <f t="shared" si="10"/>
        <v>26037.573961409769</v>
      </c>
      <c r="AN10" s="406">
        <f t="shared" si="11"/>
        <v>25099.912606864033</v>
      </c>
      <c r="AO10" s="406">
        <f t="shared" si="12"/>
        <v>24985.57681506456</v>
      </c>
      <c r="AP10" s="406">
        <f t="shared" si="13"/>
        <v>24598.840015663547</v>
      </c>
      <c r="AQ10" s="406">
        <f t="shared" si="14"/>
        <v>24212.103216262534</v>
      </c>
      <c r="AR10" s="406">
        <f t="shared" si="15"/>
        <v>23825.366416861521</v>
      </c>
      <c r="AS10" s="114">
        <f t="shared" si="18"/>
        <v>-0.12162556337606092</v>
      </c>
      <c r="AT10" s="63"/>
      <c r="BB10" s="381" t="s">
        <v>647</v>
      </c>
      <c r="BC10" s="412"/>
      <c r="BD10" s="412">
        <f>'OEO &amp; EPAUS9rT Data'!H11/km_mile*USD2018_to_CAD2020</f>
        <v>936.97339050232483</v>
      </c>
      <c r="BF10" s="382"/>
      <c r="BG10" s="382"/>
      <c r="BH10" s="383"/>
    </row>
    <row r="11" spans="1:61" x14ac:dyDescent="0.25">
      <c r="A11" t="s">
        <v>1011</v>
      </c>
      <c r="B11" t="s">
        <v>95</v>
      </c>
      <c r="C11" t="s">
        <v>4050</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4056</v>
      </c>
      <c r="S11" s="717">
        <v>3</v>
      </c>
      <c r="T11" s="377">
        <v>1</v>
      </c>
      <c r="U11" s="377">
        <v>1</v>
      </c>
      <c r="V11" s="377">
        <v>3</v>
      </c>
      <c r="W11" s="377">
        <v>1</v>
      </c>
      <c r="X11" s="1044"/>
      <c r="Z11" s="1044"/>
      <c r="AA11" s="17" t="s">
        <v>2997</v>
      </c>
      <c r="AB11" s="195" cm="1">
        <f t="array" ref="AB11">AVERAGE(_xlfn._xlws.FILTER('Autonomie 2023 LDV'!$AH:$AH, ('Autonomie 2023 LDV'!$A:$A=$AA11)*('Autonomie 2023 LDV'!$B:$B=AB$3)*('Autonomie 2023 LDV'!$D:$D="Compact")))</f>
        <v>17627.18040482275</v>
      </c>
      <c r="AC11" s="195" cm="1">
        <f t="array" ref="AC11">AVERAGE(_xlfn._xlws.FILTER('Autonomie 2023 LDV'!$AH:$AH, ('Autonomie 2023 LDV'!$A:$A=$AA11)*('Autonomie 2023 LDV'!$B:$B=AC$3)*('Autonomie 2023 LDV'!$D:$D="Compact")))</f>
        <v>16237.441258252626</v>
      </c>
      <c r="AD11" s="195" cm="1">
        <f t="array" ref="AD11">AVERAGE(_xlfn._xlws.FILTER('Autonomie 2023 LDV'!$AH:$AH, ('Autonomie 2023 LDV'!$A:$A=$AA11)*('Autonomie 2023 LDV'!$B:$B=AD$3)*('Autonomie 2023 LDV'!$D:$D="Compact")))</f>
        <v>15321.455565501623</v>
      </c>
      <c r="AE11" s="195" cm="1">
        <f t="array" ref="AE11">AVERAGE(_xlfn._xlws.FILTER('Autonomie 2023 LDV'!$AH:$AH, ('Autonomie 2023 LDV'!$A:$A=$AA11)*('Autonomie 2023 LDV'!$B:$B=AE$3)*('Autonomie 2023 LDV'!$D:$D="Compact")))</f>
        <v>14297.253296212206</v>
      </c>
      <c r="AF11" s="195">
        <f t="shared" si="16"/>
        <v>13894.699425216788</v>
      </c>
      <c r="AG11" s="195">
        <f t="shared" si="8"/>
        <v>13492.14555422137</v>
      </c>
      <c r="AH11" s="195" cm="1">
        <f t="array" ref="AH11">AVERAGE(_xlfn._xlws.FILTER('Autonomie 2023 LDV'!$AH:$AH, ('Autonomie 2023 LDV'!$A:$A=$AA11)*('Autonomie 2023 LDV'!$B:$B=AH$3)*('Autonomie 2023 LDV'!$D:$D="Compact")))</f>
        <v>13089.591683225952</v>
      </c>
      <c r="AI11" s="85">
        <f t="shared" si="17"/>
        <v>-0.25741999669756177</v>
      </c>
      <c r="AK11" s="381" t="s">
        <v>2997</v>
      </c>
      <c r="AL11" s="406">
        <f t="shared" si="9"/>
        <v>19204.736310007298</v>
      </c>
      <c r="AM11" s="406">
        <f t="shared" si="10"/>
        <v>17942.904120545947</v>
      </c>
      <c r="AN11" s="406">
        <f t="shared" si="11"/>
        <v>16946.270676757304</v>
      </c>
      <c r="AO11" s="406">
        <f t="shared" si="12"/>
        <v>15843.168487200717</v>
      </c>
      <c r="AP11" s="406">
        <f t="shared" si="13"/>
        <v>15437.362615347587</v>
      </c>
      <c r="AQ11" s="406">
        <f t="shared" si="14"/>
        <v>15031.556743494457</v>
      </c>
      <c r="AR11" s="406">
        <f t="shared" si="15"/>
        <v>14625.750871641329</v>
      </c>
      <c r="AS11" s="114">
        <f t="shared" si="18"/>
        <v>-0.23843000832976444</v>
      </c>
      <c r="AT11" s="63"/>
      <c r="BB11" s="407" t="s">
        <v>1639</v>
      </c>
      <c r="BH11" s="63"/>
    </row>
    <row r="12" spans="1:61" x14ac:dyDescent="0.25">
      <c r="A12" t="s">
        <v>1012</v>
      </c>
      <c r="B12" t="s">
        <v>95</v>
      </c>
      <c r="C12" t="s">
        <v>4050</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4056</v>
      </c>
      <c r="S12" s="717">
        <v>3</v>
      </c>
      <c r="T12" s="377">
        <v>1</v>
      </c>
      <c r="U12" s="377">
        <v>1</v>
      </c>
      <c r="V12" s="377">
        <v>3</v>
      </c>
      <c r="W12" s="377">
        <v>1</v>
      </c>
      <c r="X12" s="1044"/>
      <c r="Z12" s="1044"/>
      <c r="AA12" s="17" t="s">
        <v>883</v>
      </c>
      <c r="AB12" s="195" cm="1">
        <f t="array" ref="AB12">AVERAGE(_xlfn._xlws.FILTER('Autonomie 2023 LDV'!$AH:$AH, ('Autonomie 2023 LDV'!$A:$A=$AA12)*('Autonomie 2023 LDV'!$B:$B=AB$3)*('Autonomie 2023 LDV'!$D:$D="Compact")))</f>
        <v>19476.325148950393</v>
      </c>
      <c r="AC12" s="195" cm="1">
        <f t="array" ref="AC12">AVERAGE(_xlfn._xlws.FILTER('Autonomie 2023 LDV'!$AH:$AH, ('Autonomie 2023 LDV'!$A:$A=$AA12)*('Autonomie 2023 LDV'!$B:$B=AC$3)*('Autonomie 2023 LDV'!$D:$D="Compact")))</f>
        <v>18125.890480483427</v>
      </c>
      <c r="AD12" s="195" cm="1">
        <f t="array" ref="AD12">AVERAGE(_xlfn._xlws.FILTER('Autonomie 2023 LDV'!$AH:$AH, ('Autonomie 2023 LDV'!$A:$A=$AA12)*('Autonomie 2023 LDV'!$B:$B=AD$3)*('Autonomie 2023 LDV'!$D:$D="Compact")))</f>
        <v>16498.61486811857</v>
      </c>
      <c r="AE12" s="195" cm="1">
        <f t="array" ref="AE12">AVERAGE(_xlfn._xlws.FILTER('Autonomie 2023 LDV'!$AH:$AH, ('Autonomie 2023 LDV'!$A:$A=$AA12)*('Autonomie 2023 LDV'!$B:$B=AE$3)*('Autonomie 2023 LDV'!$D:$D="Compact")))</f>
        <v>15524.662997098054</v>
      </c>
      <c r="AF12" s="195">
        <f t="shared" si="16"/>
        <v>15035.89181620359</v>
      </c>
      <c r="AG12" s="195">
        <f t="shared" si="8"/>
        <v>14547.120635309126</v>
      </c>
      <c r="AH12" s="195" cm="1">
        <f t="array" ref="AH12">AVERAGE(_xlfn._xlws.FILTER('Autonomie 2023 LDV'!$AH:$AH, ('Autonomie 2023 LDV'!$A:$A=$AA12)*('Autonomie 2023 LDV'!$B:$B=AH$3)*('Autonomie 2023 LDV'!$D:$D="Compact")))</f>
        <v>14058.349454414662</v>
      </c>
      <c r="AI12" s="85">
        <f t="shared" si="17"/>
        <v>-0.27818264755287853</v>
      </c>
      <c r="AK12" s="381" t="s">
        <v>883</v>
      </c>
      <c r="AL12" s="406">
        <f t="shared" si="9"/>
        <v>21228.345393500953</v>
      </c>
      <c r="AM12" s="406">
        <f t="shared" si="10"/>
        <v>19735.556428704283</v>
      </c>
      <c r="AN12" s="406">
        <f t="shared" si="11"/>
        <v>18235.241991031726</v>
      </c>
      <c r="AO12" s="406">
        <f t="shared" si="12"/>
        <v>17155.245788323828</v>
      </c>
      <c r="AP12" s="406">
        <f t="shared" si="13"/>
        <v>16627.457853870255</v>
      </c>
      <c r="AQ12" s="406">
        <f t="shared" si="14"/>
        <v>16099.669919416681</v>
      </c>
      <c r="AR12" s="406">
        <f t="shared" si="15"/>
        <v>15571.881984963109</v>
      </c>
      <c r="AS12" s="114">
        <f t="shared" si="18"/>
        <v>-0.26645804483045427</v>
      </c>
      <c r="AT12" s="63"/>
      <c r="BB12" s="64"/>
      <c r="BH12" s="63"/>
    </row>
    <row r="13" spans="1:61" x14ac:dyDescent="0.25">
      <c r="A13" t="s">
        <v>4420</v>
      </c>
      <c r="B13" t="s">
        <v>95</v>
      </c>
      <c r="C13" t="s">
        <v>4050</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4056</v>
      </c>
      <c r="S13" s="717">
        <v>3</v>
      </c>
      <c r="T13" s="377">
        <v>1</v>
      </c>
      <c r="U13" s="377">
        <v>1</v>
      </c>
      <c r="V13" s="377">
        <v>3</v>
      </c>
      <c r="W13" s="377">
        <v>1</v>
      </c>
      <c r="X13" s="1044"/>
      <c r="Z13" s="1044"/>
      <c r="AA13" s="17" t="s">
        <v>884</v>
      </c>
      <c r="AB13" s="195" cm="1">
        <f t="array" ref="AB13">AVERAGE(_xlfn._xlws.FILTER('Autonomie 2023 LDV'!$AH:$AH, ('Autonomie 2023 LDV'!$A:$A=$AA13)*('Autonomie 2023 LDV'!$B:$B=AB$3)*('Autonomie 2023 LDV'!$D:$D="Compact")))</f>
        <v>23643.264912406892</v>
      </c>
      <c r="AC13" s="195" cm="1">
        <f t="array" ref="AC13">AVERAGE(_xlfn._xlws.FILTER('Autonomie 2023 LDV'!$AH:$AH, ('Autonomie 2023 LDV'!$A:$A=$AA13)*('Autonomie 2023 LDV'!$B:$B=AC$3)*('Autonomie 2023 LDV'!$D:$D="Compact")))</f>
        <v>21216.212841949909</v>
      </c>
      <c r="AD13" s="195" cm="1">
        <f t="array" ref="AD13">AVERAGE(_xlfn._xlws.FILTER('Autonomie 2023 LDV'!$AH:$AH, ('Autonomie 2023 LDV'!$A:$A=$AA13)*('Autonomie 2023 LDV'!$B:$B=AD$3)*('Autonomie 2023 LDV'!$D:$D="Compact")))</f>
        <v>19861.203540682029</v>
      </c>
      <c r="AE13" s="195" cm="1">
        <f t="array" ref="AE13">AVERAGE(_xlfn._xlws.FILTER('Autonomie 2023 LDV'!$AH:$AH, ('Autonomie 2023 LDV'!$A:$A=$AA13)*('Autonomie 2023 LDV'!$B:$B=AE$3)*('Autonomie 2023 LDV'!$D:$D="Compact")))</f>
        <v>17982.071268665815</v>
      </c>
      <c r="AF13" s="195">
        <f t="shared" si="16"/>
        <v>17268.457385196562</v>
      </c>
      <c r="AG13" s="195">
        <f t="shared" si="8"/>
        <v>16554.843501727308</v>
      </c>
      <c r="AH13" s="195" cm="1">
        <f t="array" ref="AH13">AVERAGE(_xlfn._xlws.FILTER('Autonomie 2023 LDV'!$AH:$AH, ('Autonomie 2023 LDV'!$A:$A=$AA13)*('Autonomie 2023 LDV'!$B:$B=AH$3)*('Autonomie 2023 LDV'!$D:$D="Compact")))</f>
        <v>15841.229618258049</v>
      </c>
      <c r="AI13" s="85">
        <f t="shared" si="17"/>
        <v>-0.32998975915778433</v>
      </c>
      <c r="AK13" s="381" t="s">
        <v>884</v>
      </c>
      <c r="AL13" s="406">
        <f t="shared" si="9"/>
        <v>25687.151527093229</v>
      </c>
      <c r="AM13" s="406">
        <f t="shared" si="10"/>
        <v>23147.838410984987</v>
      </c>
      <c r="AN13" s="406">
        <f t="shared" si="11"/>
        <v>21538.775151444352</v>
      </c>
      <c r="AO13" s="406">
        <f t="shared" si="12"/>
        <v>19779.928113006354</v>
      </c>
      <c r="AP13" s="406">
        <f t="shared" si="13"/>
        <v>19021.606617514863</v>
      </c>
      <c r="AQ13" s="406">
        <f t="shared" si="14"/>
        <v>18263.285122023375</v>
      </c>
      <c r="AR13" s="406">
        <f t="shared" si="15"/>
        <v>17504.96362653188</v>
      </c>
      <c r="AS13" s="114">
        <f t="shared" si="18"/>
        <v>-0.3185323172922182</v>
      </c>
      <c r="AT13" s="63"/>
      <c r="AU13">
        <f>AL13/AL11</f>
        <v>1.3375425266166265</v>
      </c>
      <c r="BB13" s="379" t="s">
        <v>2922</v>
      </c>
      <c r="BE13" s="28"/>
      <c r="BH13" s="63"/>
    </row>
    <row r="14" spans="1:61" ht="15.75" thickBot="1" x14ac:dyDescent="0.3">
      <c r="K14" s="277"/>
      <c r="L14" s="73"/>
      <c r="M14" s="73"/>
      <c r="N14" s="73"/>
      <c r="O14" s="73"/>
      <c r="P14" s="73"/>
      <c r="Q14" s="73"/>
      <c r="X14" s="1044"/>
      <c r="Z14" s="1044"/>
      <c r="AA14" s="17" t="s">
        <v>885</v>
      </c>
      <c r="AB14" s="195" cm="1">
        <f t="array" ref="AB14">AVERAGE(_xlfn._xlws.FILTER('Autonomie 2023 LDV'!$AH:$AH, ('Autonomie 2023 LDV'!$A:$A=$AA14)*('Autonomie 2023 LDV'!$B:$B=AB$3)*('Autonomie 2023 LDV'!$D:$D="Compact")))</f>
        <v>29907.28970384668</v>
      </c>
      <c r="AC14" s="195" cm="1">
        <f t="array" ref="AC14">AVERAGE(_xlfn._xlws.FILTER('Autonomie 2023 LDV'!$AH:$AH, ('Autonomie 2023 LDV'!$A:$A=$AA14)*('Autonomie 2023 LDV'!$B:$B=AC$3)*('Autonomie 2023 LDV'!$D:$D="Compact")))</f>
        <v>26617.28305597313</v>
      </c>
      <c r="AD14" s="195" cm="1">
        <f t="array" ref="AD14">AVERAGE(_xlfn._xlws.FILTER('Autonomie 2023 LDV'!$AH:$AH, ('Autonomie 2023 LDV'!$A:$A=$AA14)*('Autonomie 2023 LDV'!$B:$B=AD$3)*('Autonomie 2023 LDV'!$D:$D="Compact")))</f>
        <v>23952.939807410388</v>
      </c>
      <c r="AE14" s="195" cm="1">
        <f t="array" ref="AE14">AVERAGE(_xlfn._xlws.FILTER('Autonomie 2023 LDV'!$AH:$AH, ('Autonomie 2023 LDV'!$A:$A=$AA14)*('Autonomie 2023 LDV'!$B:$B=AE$3)*('Autonomie 2023 LDV'!$D:$D="Compact")))</f>
        <v>21455.877300141849</v>
      </c>
      <c r="AF14" s="195">
        <f t="shared" si="16"/>
        <v>20419.686547868096</v>
      </c>
      <c r="AG14" s="195">
        <f t="shared" si="8"/>
        <v>19383.495795594343</v>
      </c>
      <c r="AH14" s="195" cm="1">
        <f t="array" ref="AH14">AVERAGE(_xlfn._xlws.FILTER('Autonomie 2023 LDV'!$AH:$AH, ('Autonomie 2023 LDV'!$A:$A=$AA14)*('Autonomie 2023 LDV'!$B:$B=AH$3)*('Autonomie 2023 LDV'!$D:$D="Compact")))</f>
        <v>18347.305043320586</v>
      </c>
      <c r="AI14" s="85">
        <f t="shared" si="17"/>
        <v>-0.38652732410718071</v>
      </c>
      <c r="AK14" s="381" t="s">
        <v>885</v>
      </c>
      <c r="AL14" s="406">
        <f t="shared" si="9"/>
        <v>32054.765512412225</v>
      </c>
      <c r="AM14" s="406">
        <f t="shared" si="10"/>
        <v>28766.895560763031</v>
      </c>
      <c r="AN14" s="406">
        <f t="shared" si="11"/>
        <v>25704.988646877555</v>
      </c>
      <c r="AO14" s="406">
        <f t="shared" si="12"/>
        <v>23083.690826750259</v>
      </c>
      <c r="AP14" s="406">
        <f t="shared" si="13"/>
        <v>22121.180032455624</v>
      </c>
      <c r="AQ14" s="406">
        <f t="shared" si="14"/>
        <v>21158.66923816099</v>
      </c>
      <c r="AR14" s="406">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4050</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4056</v>
      </c>
      <c r="S15" s="717">
        <v>3</v>
      </c>
      <c r="T15" s="377">
        <v>1</v>
      </c>
      <c r="U15" s="377">
        <v>1</v>
      </c>
      <c r="V15" s="377">
        <v>3</v>
      </c>
      <c r="W15" s="377">
        <v>1</v>
      </c>
      <c r="X15" s="1044"/>
      <c r="Z15" s="1044"/>
      <c r="AA15" s="17" t="s">
        <v>567</v>
      </c>
      <c r="AB15" s="195" cm="1">
        <f t="array" ref="AB15">AVERAGE(_xlfn._xlws.FILTER('Autonomie 2023 LDV'!$AH:$AH, ('Autonomie 2023 LDV'!$A:$A=$AA15)*('Autonomie 2023 LDV'!$B:$B=AB$3)*('Autonomie 2023 LDV'!$D:$D="Compact")))</f>
        <v>29643.422421747302</v>
      </c>
      <c r="AC15" s="195" cm="1">
        <f t="array" ref="AC15">AVERAGE(_xlfn._xlws.FILTER('Autonomie 2023 LDV'!$AH:$AH, ('Autonomie 2023 LDV'!$A:$A=$AA15)*('Autonomie 2023 LDV'!$B:$B=AC$3)*('Autonomie 2023 LDV'!$D:$D="Compact")))</f>
        <v>27653.991592267485</v>
      </c>
      <c r="AD15" s="195" cm="1">
        <f t="array" ref="AD15">AVERAGE(_xlfn._xlws.FILTER('Autonomie 2023 LDV'!$AH:$AH, ('Autonomie 2023 LDV'!$A:$A=$AA15)*('Autonomie 2023 LDV'!$B:$B=AD$3)*('Autonomie 2023 LDV'!$D:$D="Compact")))</f>
        <v>22678.486881912762</v>
      </c>
      <c r="AE15" s="195" cm="1">
        <f t="array" ref="AE15">AVERAGE(_xlfn._xlws.FILTER('Autonomie 2023 LDV'!$AH:$AH, ('Autonomie 2023 LDV'!$A:$A=$AA15)*('Autonomie 2023 LDV'!$B:$B=AE$3)*('Autonomie 2023 LDV'!$D:$D="Compact")))</f>
        <v>21559.094812208095</v>
      </c>
      <c r="AF15" s="195">
        <f t="shared" si="16"/>
        <v>20599.977557281767</v>
      </c>
      <c r="AG15" s="195">
        <f t="shared" si="8"/>
        <v>19640.860302355439</v>
      </c>
      <c r="AH15" s="195" cm="1">
        <f t="array" ref="AH15">AVERAGE(_xlfn._xlws.FILTER('Autonomie 2023 LDV'!$AH:$AH, ('Autonomie 2023 LDV'!$A:$A=$AA15)*('Autonomie 2023 LDV'!$B:$B=AH$3)*('Autonomie 2023 LDV'!$D:$D="Compact")))</f>
        <v>18681.743047429114</v>
      </c>
      <c r="AI15" s="85">
        <f t="shared" si="17"/>
        <v>-0.36978454168896407</v>
      </c>
      <c r="AK15" s="381" t="s">
        <v>567</v>
      </c>
      <c r="AL15" s="406">
        <f t="shared" si="9"/>
        <v>32804.106105428422</v>
      </c>
      <c r="AM15" s="406">
        <f t="shared" si="10"/>
        <v>30621.80318015418</v>
      </c>
      <c r="AN15" s="406">
        <f t="shared" si="11"/>
        <v>25164.961366748605</v>
      </c>
      <c r="AO15" s="406">
        <f t="shared" si="12"/>
        <v>23972.505992060418</v>
      </c>
      <c r="AP15" s="406">
        <f t="shared" si="13"/>
        <v>22947.458509361564</v>
      </c>
      <c r="AQ15" s="406">
        <f t="shared" si="14"/>
        <v>21922.411026662707</v>
      </c>
      <c r="AR15" s="406">
        <f t="shared" si="15"/>
        <v>20897.363543963853</v>
      </c>
      <c r="AS15" s="114">
        <f t="shared" si="18"/>
        <v>-0.36296500575866147</v>
      </c>
      <c r="AT15" s="63"/>
      <c r="BB15" s="379" t="s">
        <v>591</v>
      </c>
      <c r="BH15" s="63"/>
    </row>
    <row r="16" spans="1:61" x14ac:dyDescent="0.25">
      <c r="A16" t="s">
        <v>1015</v>
      </c>
      <c r="B16" t="s">
        <v>95</v>
      </c>
      <c r="C16" t="s">
        <v>4050</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4056</v>
      </c>
      <c r="S16" s="717">
        <v>3</v>
      </c>
      <c r="T16" s="377">
        <v>1</v>
      </c>
      <c r="U16" s="377">
        <v>1</v>
      </c>
      <c r="V16" s="377">
        <v>3</v>
      </c>
      <c r="W16" s="377">
        <v>1</v>
      </c>
      <c r="X16" s="1044"/>
      <c r="Z16" s="1044"/>
      <c r="AA16" s="17"/>
      <c r="AB16" s="195"/>
      <c r="AC16" s="195"/>
      <c r="AD16" s="195"/>
      <c r="AE16" s="195"/>
      <c r="AF16" s="195"/>
      <c r="AG16" s="195"/>
      <c r="AH16" s="195"/>
      <c r="AI16" s="85"/>
      <c r="AK16" s="381"/>
      <c r="AL16" s="406"/>
      <c r="AM16" s="406"/>
      <c r="AN16" s="406"/>
      <c r="AO16" s="406"/>
      <c r="AP16" s="406"/>
      <c r="AQ16" s="406"/>
      <c r="AR16" s="406"/>
      <c r="AS16" s="114"/>
      <c r="AT16" s="63"/>
      <c r="BB16" s="381" t="s">
        <v>1592</v>
      </c>
      <c r="BC16" s="206">
        <f>'OEO &amp; EPAUS9rT Data'!S23/km_mile*USD2018_to_CAD2020</f>
        <v>540.22328099966455</v>
      </c>
      <c r="BH16" s="63"/>
    </row>
    <row r="17" spans="1:60" x14ac:dyDescent="0.25">
      <c r="A17" t="s">
        <v>1016</v>
      </c>
      <c r="B17" t="s">
        <v>95</v>
      </c>
      <c r="C17" t="s">
        <v>4050</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4056</v>
      </c>
      <c r="S17" s="717">
        <v>3</v>
      </c>
      <c r="T17" s="377">
        <v>1</v>
      </c>
      <c r="U17" s="377">
        <v>1</v>
      </c>
      <c r="V17" s="377">
        <v>3</v>
      </c>
      <c r="W17" s="377">
        <v>1</v>
      </c>
      <c r="X17" s="1044"/>
      <c r="Z17" s="1044"/>
      <c r="AA17" s="28" t="s">
        <v>3030</v>
      </c>
      <c r="AI17" s="85"/>
      <c r="AK17" s="379" t="s">
        <v>519</v>
      </c>
      <c r="AS17" s="114"/>
      <c r="AT17" s="63"/>
      <c r="BB17" s="381" t="s">
        <v>893</v>
      </c>
      <c r="BE17" s="206">
        <f>'OEO &amp; EPAUS9rT Data'!U24/km_mile*USD2018_to_CAD2020</f>
        <v>716.69641333068228</v>
      </c>
      <c r="BH17" s="63"/>
    </row>
    <row r="18" spans="1:60" x14ac:dyDescent="0.25">
      <c r="A18" t="s">
        <v>1017</v>
      </c>
      <c r="B18" t="s">
        <v>95</v>
      </c>
      <c r="C18" t="s">
        <v>4050</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4056</v>
      </c>
      <c r="S18" s="717">
        <v>3</v>
      </c>
      <c r="T18" s="377">
        <v>1</v>
      </c>
      <c r="U18" s="377">
        <v>1</v>
      </c>
      <c r="V18" s="377">
        <v>3</v>
      </c>
      <c r="W18" s="377">
        <v>1</v>
      </c>
      <c r="X18" s="1044"/>
      <c r="Z18" s="1044"/>
      <c r="AA18" s="17" t="s">
        <v>890</v>
      </c>
      <c r="AB18" s="195" cm="1">
        <f t="array" ref="AB18">AVERAGE(_xlfn._xlws.FILTER('Autonomie 2023 LDV'!$AH:$AH, ('Autonomie 2023 LDV'!$A:$A=$AA18)*('Autonomie 2023 LDV'!$B:$B=AB$3)*('Autonomie 2023 LDV'!$D:$D="Midsize")))</f>
        <v>21483.674234965813</v>
      </c>
      <c r="AC18" s="195" cm="1">
        <f t="array" ref="AC18">AVERAGE(_xlfn._xlws.FILTER('Autonomie 2023 LDV'!$AH:$AH, ('Autonomie 2023 LDV'!$A:$A=$AA18)*('Autonomie 2023 LDV'!$B:$B=AC$3)*('Autonomie 2023 LDV'!$D:$D="Midsize")))</f>
        <v>21468.449196689067</v>
      </c>
      <c r="AD18" s="195" cm="1">
        <f t="array" ref="AD18">AVERAGE(_xlfn._xlws.FILTER('Autonomie 2023 LDV'!$AH:$AH, ('Autonomie 2023 LDV'!$A:$A=$AA18)*('Autonomie 2023 LDV'!$B:$B=AD$3)*('Autonomie 2023 LDV'!$D:$D="Midsize")))</f>
        <v>22050.595281107286</v>
      </c>
      <c r="AE18" s="195" cm="1">
        <f t="array" ref="AE18">AVERAGE(_xlfn._xlws.FILTER('Autonomie 2023 LDV'!$AH:$AH,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LDV'!$AH:$AH, ('Autonomie 2023 LDV'!$A:$A=$AA18)*('Autonomie 2023 LDV'!$B:$B=AH$3)*('Autonomie 2023 LDV'!$D:$D="Midsize")))</f>
        <v>23195.310870820565</v>
      </c>
      <c r="AI18" s="85">
        <f t="shared" ref="AI18:AI28" si="28">(AH18-AB18)/AB18</f>
        <v>7.9671503911978622E-2</v>
      </c>
      <c r="AK18" s="381" t="s">
        <v>890</v>
      </c>
      <c r="AL18" s="406">
        <f t="shared" ref="AL18:AL28" si="29">AB31*$AB$140+AB44*$AB$141+AB57*$AB$142</f>
        <v>24886.083898153152</v>
      </c>
      <c r="AM18" s="406">
        <f t="shared" ref="AM18:AM28" si="30">AC31*$AB$140+AC44*$AB$141+AC57*$AB$142</f>
        <v>24877.318529414148</v>
      </c>
      <c r="AN18" s="406">
        <f t="shared" ref="AN18:AN28" si="31">AD31*$AB$140+AD44*$AB$141+AD57*$AB$142</f>
        <v>25301.445714099027</v>
      </c>
      <c r="AO18" s="406">
        <f t="shared" ref="AO18:AO28" si="32">AE31*$AB$140+AE44*$AB$141+AE57*$AB$142</f>
        <v>26538.407367156677</v>
      </c>
      <c r="AP18" s="406">
        <f t="shared" ref="AP18:AP28" si="33">AF31*$AB$140+AF44*$AB$141+AF57*$AB$142</f>
        <v>26502.42673527015</v>
      </c>
      <c r="AQ18" s="406">
        <f t="shared" ref="AQ18:AQ28" si="34">AG31*$AB$140+AG44*$AB$141+AG57*$AB$142</f>
        <v>26466.446103383627</v>
      </c>
      <c r="AR18" s="406">
        <f t="shared" ref="AR18:AR28" si="35">AH31*$AB$140+AH44*$AB$141+AH57*$AB$142</f>
        <v>26430.465471497111</v>
      </c>
      <c r="AS18" s="114">
        <f t="shared" si="18"/>
        <v>6.2058039330911779E-2</v>
      </c>
      <c r="AT18" s="63"/>
      <c r="BB18" s="379" t="s">
        <v>66</v>
      </c>
      <c r="BH18" s="63"/>
    </row>
    <row r="19" spans="1:60" x14ac:dyDescent="0.25">
      <c r="A19" t="s">
        <v>4391</v>
      </c>
      <c r="B19" t="s">
        <v>95</v>
      </c>
      <c r="C19" t="s">
        <v>4050</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4056</v>
      </c>
      <c r="S19" s="717">
        <v>3</v>
      </c>
      <c r="T19" s="377">
        <v>1</v>
      </c>
      <c r="U19" s="377">
        <v>1</v>
      </c>
      <c r="V19" s="377">
        <v>3</v>
      </c>
      <c r="W19" s="377">
        <v>1</v>
      </c>
      <c r="X19" s="1044"/>
      <c r="Z19" s="1044"/>
      <c r="AA19" s="17" t="s">
        <v>887</v>
      </c>
      <c r="AB19" s="195" cm="1">
        <f t="array" ref="AB19">AVERAGE(_xlfn._xlws.FILTER('Autonomie 2023 LDV'!$AH:$AH, ('Autonomie 2023 LDV'!$A:$A=$AA19)*('Autonomie 2023 LDV'!$B:$B=AB$3)*('Autonomie 2023 LDV'!$D:$D="Midsize")))</f>
        <v>24953.547810270215</v>
      </c>
      <c r="AC19" s="195" cm="1">
        <f t="array" ref="AC19">AVERAGE(_xlfn._xlws.FILTER('Autonomie 2023 LDV'!$AH:$AH, ('Autonomie 2023 LDV'!$A:$A=$AA19)*('Autonomie 2023 LDV'!$B:$B=AC$3)*('Autonomie 2023 LDV'!$D:$D="Midsize")))</f>
        <v>24889.817320956714</v>
      </c>
      <c r="AD19" s="195" cm="1">
        <f t="array" ref="AD19">AVERAGE(_xlfn._xlws.FILTER('Autonomie 2023 LDV'!$AH:$AH, ('Autonomie 2023 LDV'!$A:$A=$AA19)*('Autonomie 2023 LDV'!$B:$B=AD$3)*('Autonomie 2023 LDV'!$D:$D="Midsize")))</f>
        <v>24945.539071973177</v>
      </c>
      <c r="AE19" s="195" cm="1">
        <f t="array" ref="AE19">AVERAGE(_xlfn._xlws.FILTER('Autonomie 2023 LDV'!$AH:$AH,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LDV'!$AH:$AH, ('Autonomie 2023 LDV'!$A:$A=$AA19)*('Autonomie 2023 LDV'!$B:$B=AH$3)*('Autonomie 2023 LDV'!$D:$D="Midsize")))</f>
        <v>24882.680832710641</v>
      </c>
      <c r="AI19" s="85">
        <f t="shared" si="28"/>
        <v>-2.8399559893606237E-3</v>
      </c>
      <c r="AK19" s="381" t="s">
        <v>887</v>
      </c>
      <c r="AL19" s="406">
        <f t="shared" si="29"/>
        <v>28509.272145614734</v>
      </c>
      <c r="AM19" s="406">
        <f t="shared" si="30"/>
        <v>28449.154341969195</v>
      </c>
      <c r="AN19" s="406">
        <f t="shared" si="31"/>
        <v>28506.844988283141</v>
      </c>
      <c r="AO19" s="406">
        <f t="shared" si="32"/>
        <v>28535.646162556463</v>
      </c>
      <c r="AP19" s="406">
        <f t="shared" si="33"/>
        <v>28499.16664781265</v>
      </c>
      <c r="AQ19" s="406">
        <f t="shared" si="34"/>
        <v>28462.687133068841</v>
      </c>
      <c r="AR19" s="406">
        <f t="shared" si="35"/>
        <v>28426.207618325032</v>
      </c>
      <c r="AS19" s="114">
        <f t="shared" si="18"/>
        <v>-2.9135969121007075E-3</v>
      </c>
      <c r="AT19" s="63"/>
      <c r="BB19" s="381" t="s">
        <v>1592</v>
      </c>
      <c r="BC19" s="206">
        <f>'OEO &amp; EPAUS9rT Data'!S26/km_mile*USD2018_to_CAD2020</f>
        <v>27.214521014577411</v>
      </c>
      <c r="BH19" s="63"/>
    </row>
    <row r="20" spans="1:60" x14ac:dyDescent="0.25">
      <c r="A20" t="s">
        <v>1019</v>
      </c>
      <c r="B20" t="s">
        <v>95</v>
      </c>
      <c r="C20" t="s">
        <v>4050</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4056</v>
      </c>
      <c r="S20" s="717">
        <v>3</v>
      </c>
      <c r="T20" s="377">
        <v>1</v>
      </c>
      <c r="U20" s="377">
        <v>1</v>
      </c>
      <c r="V20" s="377">
        <v>3</v>
      </c>
      <c r="W20" s="377">
        <v>1</v>
      </c>
      <c r="X20" s="1044"/>
      <c r="Z20" s="1044"/>
      <c r="AA20" s="17" t="s">
        <v>889</v>
      </c>
      <c r="AB20" s="195" cm="1">
        <f t="array" ref="AB20">AVERAGE(_xlfn._xlws.FILTER('Autonomie 2023 LDV'!$AH:$AH, ('Autonomie 2023 LDV'!$A:$A=$AA20)*('Autonomie 2023 LDV'!$B:$B=AB$3)*('Autonomie 2023 LDV'!$D:$D="Midsize")))</f>
        <v>27328.789739231892</v>
      </c>
      <c r="AC20" s="195" cm="1">
        <f t="array" ref="AC20">AVERAGE(_xlfn._xlws.FILTER('Autonomie 2023 LDV'!$AH:$AH, ('Autonomie 2023 LDV'!$A:$A=$AA20)*('Autonomie 2023 LDV'!$B:$B=AC$3)*('Autonomie 2023 LDV'!$D:$D="Midsize")))</f>
        <v>27249.727621399255</v>
      </c>
      <c r="AD20" s="195" cm="1">
        <f t="array" ref="AD20">AVERAGE(_xlfn._xlws.FILTER('Autonomie 2023 LDV'!$AH:$AH, ('Autonomie 2023 LDV'!$A:$A=$AA20)*('Autonomie 2023 LDV'!$B:$B=AD$3)*('Autonomie 2023 LDV'!$D:$D="Midsize")))</f>
        <v>27266.318553455112</v>
      </c>
      <c r="AE20" s="195" cm="1">
        <f t="array" ref="AE20">AVERAGE(_xlfn._xlws.FILTER('Autonomie 2023 LDV'!$AH:$AH, ('Autonomie 2023 LDV'!$A:$A=$AA20)*('Autonomie 2023 LDV'!$B:$B=AE$3)*('Autonomie 2023 LDV'!$D:$D="Midsize")))</f>
        <v>27322.262037848359</v>
      </c>
      <c r="AF20" s="195">
        <f t="shared" si="36"/>
        <v>27289.330548045175</v>
      </c>
      <c r="AG20" s="195">
        <f t="shared" si="37"/>
        <v>27256.39905824199</v>
      </c>
      <c r="AH20" s="195" cm="1">
        <f t="array" ref="AH20">AVERAGE(_xlfn._xlws.FILTER('Autonomie 2023 LDV'!$AH:$AH, ('Autonomie 2023 LDV'!$A:$A=$AA20)*('Autonomie 2023 LDV'!$B:$B=AH$3)*('Autonomie 2023 LDV'!$D:$D="Midsize")))</f>
        <v>27223.467568438809</v>
      </c>
      <c r="AI20" s="85">
        <f t="shared" si="28"/>
        <v>-3.8538907795791283E-3</v>
      </c>
      <c r="AK20" s="381" t="s">
        <v>889</v>
      </c>
      <c r="AL20" s="406">
        <f t="shared" si="29"/>
        <v>30568.735454594796</v>
      </c>
      <c r="AM20" s="406">
        <f t="shared" si="30"/>
        <v>30497.357381976661</v>
      </c>
      <c r="AN20" s="406">
        <f t="shared" si="31"/>
        <v>30517.900938915493</v>
      </c>
      <c r="AO20" s="406">
        <f t="shared" si="32"/>
        <v>30567.012425227251</v>
      </c>
      <c r="AP20" s="406">
        <f t="shared" si="33"/>
        <v>30531.006364469955</v>
      </c>
      <c r="AQ20" s="406">
        <f t="shared" si="34"/>
        <v>30495.000303712652</v>
      </c>
      <c r="AR20" s="406">
        <f t="shared" si="35"/>
        <v>30458.994242955356</v>
      </c>
      <c r="AS20" s="114">
        <f t="shared" si="18"/>
        <v>-3.5899820521671432E-3</v>
      </c>
      <c r="AT20" s="63"/>
      <c r="BB20" s="381" t="s">
        <v>893</v>
      </c>
      <c r="BE20" s="206">
        <f>'OEO &amp; EPAUS9rT Data'!U27/km_mile*USD2018_to_CAD2020</f>
        <v>52.505882544124681</v>
      </c>
      <c r="BH20" s="63"/>
    </row>
    <row r="21" spans="1:60" x14ac:dyDescent="0.25">
      <c r="A21" t="s">
        <v>4396</v>
      </c>
      <c r="B21" t="s">
        <v>95</v>
      </c>
      <c r="C21" t="s">
        <v>4050</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4056</v>
      </c>
      <c r="S21" s="717">
        <v>3</v>
      </c>
      <c r="T21" s="377">
        <v>1</v>
      </c>
      <c r="U21" s="377">
        <v>1</v>
      </c>
      <c r="V21" s="377">
        <v>3</v>
      </c>
      <c r="W21" s="377">
        <v>1</v>
      </c>
      <c r="X21" s="1044"/>
      <c r="Z21" s="1044"/>
      <c r="AA21" s="17" t="s">
        <v>3001</v>
      </c>
      <c r="AB21" s="195" cm="1">
        <f t="array" ref="AB21">AVERAGE(_xlfn._xlws.FILTER('Autonomie 2023 LDV'!$AH:$AH, ('Autonomie 2023 LDV'!$A:$A=$AA21)*('Autonomie 2023 LDV'!$B:$B=AB$3)*('Autonomie 2023 LDV'!$D:$D="Midsize")))</f>
        <v>24688.297593152809</v>
      </c>
      <c r="AC21" s="195" cm="1">
        <f t="array" ref="AC21">AVERAGE(_xlfn._xlws.FILTER('Autonomie 2023 LDV'!$AH:$AH, ('Autonomie 2023 LDV'!$A:$A=$AA21)*('Autonomie 2023 LDV'!$B:$B=AC$3)*('Autonomie 2023 LDV'!$D:$D="Midsize")))</f>
        <v>23986.075622215893</v>
      </c>
      <c r="AD21" s="195" cm="1">
        <f t="array" ref="AD21">AVERAGE(_xlfn._xlws.FILTER('Autonomie 2023 LDV'!$AH:$AH, ('Autonomie 2023 LDV'!$A:$A=$AA21)*('Autonomie 2023 LDV'!$B:$B=AD$3)*('Autonomie 2023 LDV'!$D:$D="Midsize")))</f>
        <v>23293.187215967344</v>
      </c>
      <c r="AE21" s="195" cm="1">
        <f t="array" ref="AE21">AVERAGE(_xlfn._xlws.FILTER('Autonomie 2023 LDV'!$AH:$AH, ('Autonomie 2023 LDV'!$A:$A=$AA21)*('Autonomie 2023 LDV'!$B:$B=AE$3)*('Autonomie 2023 LDV'!$D:$D="Midsize")))</f>
        <v>22869.223911202254</v>
      </c>
      <c r="AF21" s="195">
        <f t="shared" si="36"/>
        <v>22577.603113192283</v>
      </c>
      <c r="AG21" s="195">
        <f t="shared" si="37"/>
        <v>22285.982315182311</v>
      </c>
      <c r="AH21" s="195" cm="1">
        <f t="array" ref="AH21">AVERAGE(_xlfn._xlws.FILTER('Autonomie 2023 LDV'!$AH:$AH, ('Autonomie 2023 LDV'!$A:$A=$AA21)*('Autonomie 2023 LDV'!$B:$B=AH$3)*('Autonomie 2023 LDV'!$D:$D="Midsize")))</f>
        <v>21994.36151717234</v>
      </c>
      <c r="AI21" s="85">
        <f t="shared" si="28"/>
        <v>-0.10911793597010191</v>
      </c>
      <c r="AK21" s="381" t="s">
        <v>3001</v>
      </c>
      <c r="AL21" s="406">
        <f t="shared" si="29"/>
        <v>28873.732812208131</v>
      </c>
      <c r="AM21" s="406">
        <f t="shared" si="30"/>
        <v>27975.198530448513</v>
      </c>
      <c r="AN21" s="406">
        <f t="shared" si="31"/>
        <v>27102.498240350978</v>
      </c>
      <c r="AO21" s="406">
        <f t="shared" si="32"/>
        <v>26642.522940885501</v>
      </c>
      <c r="AP21" s="406">
        <f t="shared" si="33"/>
        <v>26291.218455446513</v>
      </c>
      <c r="AQ21" s="406">
        <f t="shared" si="34"/>
        <v>25939.913970007525</v>
      </c>
      <c r="AR21" s="406">
        <f t="shared" si="35"/>
        <v>25588.609484568537</v>
      </c>
      <c r="AS21" s="114">
        <f t="shared" si="18"/>
        <v>-0.11377549792421048</v>
      </c>
      <c r="AT21" s="63"/>
      <c r="BB21" s="381" t="s">
        <v>233</v>
      </c>
      <c r="BD21" s="206">
        <f>'OEO &amp; EPAUS9rT Data'!T28/km_mile*USD2018_to_CAD2020</f>
        <v>44.994442098748571</v>
      </c>
      <c r="BH21" s="63"/>
    </row>
    <row r="22" spans="1:60" x14ac:dyDescent="0.25">
      <c r="A22" t="s">
        <v>1020</v>
      </c>
      <c r="B22" t="s">
        <v>95</v>
      </c>
      <c r="C22" t="s">
        <v>4050</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4056</v>
      </c>
      <c r="S22" s="717">
        <v>3</v>
      </c>
      <c r="T22" s="377">
        <v>1</v>
      </c>
      <c r="U22" s="377">
        <v>1</v>
      </c>
      <c r="V22" s="377">
        <v>3</v>
      </c>
      <c r="W22" s="377">
        <v>1</v>
      </c>
      <c r="X22" s="1044"/>
      <c r="Z22" s="1044"/>
      <c r="AA22" s="17" t="s">
        <v>4423</v>
      </c>
      <c r="AB22" s="195" cm="1">
        <f t="array" ref="AB22">AVERAGE(_xlfn._xlws.FILTER('Autonomie 2023 LDV'!$AH:$AH, ('Autonomie 2023 LDV'!$A:$A=$AA22)*('Autonomie 2023 LDV'!$B:$B=AB$3)*('Autonomie 2023 LDV'!$D:$D="Midsize")))</f>
        <v>26986.560682022024</v>
      </c>
      <c r="AC22" s="195" cm="1">
        <f t="array" ref="AC22">AVERAGE(_xlfn._xlws.FILTER('Autonomie 2023 LDV'!$AH:$AH, ('Autonomie 2023 LDV'!$A:$A=$AA22)*('Autonomie 2023 LDV'!$B:$B=AC$3)*('Autonomie 2023 LDV'!$D:$D="Midsize")))</f>
        <v>26408.047067227504</v>
      </c>
      <c r="AD22" s="195" cm="1">
        <f t="array" ref="AD22">AVERAGE(_xlfn._xlws.FILTER('Autonomie 2023 LDV'!$AH:$AH, ('Autonomie 2023 LDV'!$A:$A=$AA22)*('Autonomie 2023 LDV'!$B:$B=AD$3)*('Autonomie 2023 LDV'!$D:$D="Midsize")))</f>
        <v>25725.629600978482</v>
      </c>
      <c r="AE22" s="195" cm="1">
        <f t="array" ref="AE22">AVERAGE(_xlfn._xlws.FILTER('Autonomie 2023 LDV'!$AH:$AH, ('Autonomie 2023 LDV'!$A:$A=$AA22)*('Autonomie 2023 LDV'!$B:$B=AE$3)*('Autonomie 2023 LDV'!$D:$D="Midsize")))</f>
        <v>25837.726247695413</v>
      </c>
      <c r="AF22" s="195">
        <f t="shared" si="36"/>
        <v>25517.02458265299</v>
      </c>
      <c r="AG22" s="195">
        <f t="shared" si="37"/>
        <v>25196.322917610567</v>
      </c>
      <c r="AH22" s="195" cm="1">
        <f t="array" ref="AH22">AVERAGE(_xlfn._xlws.FILTER('Autonomie 2023 LDV'!$AH:$AH, ('Autonomie 2023 LDV'!$A:$A=$AA22)*('Autonomie 2023 LDV'!$B:$B=AH$3)*('Autonomie 2023 LDV'!$D:$D="Midsize")))</f>
        <v>24875.621252568148</v>
      </c>
      <c r="AI22" s="85">
        <f t="shared" si="28"/>
        <v>-7.8221876967825218E-2</v>
      </c>
      <c r="AK22" s="381" t="s">
        <v>4423</v>
      </c>
      <c r="AL22" s="406">
        <f t="shared" si="29"/>
        <v>31534.658566671951</v>
      </c>
      <c r="AM22" s="406">
        <f t="shared" si="30"/>
        <v>30590.653873310148</v>
      </c>
      <c r="AN22" s="406">
        <f t="shared" si="31"/>
        <v>29924.615218408548</v>
      </c>
      <c r="AO22" s="406">
        <f t="shared" si="32"/>
        <v>30017.807990693393</v>
      </c>
      <c r="AP22" s="406">
        <f t="shared" si="33"/>
        <v>29640.547489434612</v>
      </c>
      <c r="AQ22" s="406">
        <f t="shared" si="34"/>
        <v>29263.286988175827</v>
      </c>
      <c r="AR22" s="406">
        <f t="shared" si="35"/>
        <v>28886.026486917042</v>
      </c>
      <c r="AS22" s="114">
        <f t="shared" si="18"/>
        <v>-8.3991144985922556E-2</v>
      </c>
      <c r="AT22" s="63"/>
      <c r="BB22" s="387" t="s">
        <v>1214</v>
      </c>
      <c r="BH22" s="63"/>
    </row>
    <row r="23" spans="1:60" x14ac:dyDescent="0.25">
      <c r="A23" t="s">
        <v>1021</v>
      </c>
      <c r="B23" t="s">
        <v>95</v>
      </c>
      <c r="C23" t="s">
        <v>4050</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4056</v>
      </c>
      <c r="S23" s="717">
        <v>3</v>
      </c>
      <c r="T23" s="377">
        <v>1</v>
      </c>
      <c r="U23" s="377">
        <v>1</v>
      </c>
      <c r="V23" s="377">
        <v>3</v>
      </c>
      <c r="W23" s="377">
        <v>1</v>
      </c>
      <c r="X23" s="1044"/>
      <c r="Z23" s="1044"/>
      <c r="AA23" s="17" t="s">
        <v>4424</v>
      </c>
      <c r="AB23" s="195" cm="1">
        <f t="array" ref="AB23">AVERAGE(_xlfn._xlws.FILTER('Autonomie 2023 LDV'!$AH:$AH, ('Autonomie 2023 LDV'!$A:$A=$AA23)*('Autonomie 2023 LDV'!$B:$B=AB$3)*('Autonomie 2023 LDV'!$D:$D="Midsize")))</f>
        <v>28939.728242866764</v>
      </c>
      <c r="AC23" s="195" cm="1">
        <f t="array" ref="AC23">AVERAGE(_xlfn._xlws.FILTER('Autonomie 2023 LDV'!$AH:$AH, ('Autonomie 2023 LDV'!$A:$A=$AA23)*('Autonomie 2023 LDV'!$B:$B=AC$3)*('Autonomie 2023 LDV'!$D:$D="Midsize")))</f>
        <v>27863.567668298056</v>
      </c>
      <c r="AD23" s="195" cm="1">
        <f t="array" ref="AD23">AVERAGE(_xlfn._xlws.FILTER('Autonomie 2023 LDV'!$AH:$AH, ('Autonomie 2023 LDV'!$A:$A=$AA23)*('Autonomie 2023 LDV'!$B:$B=AD$3)*('Autonomie 2023 LDV'!$D:$D="Midsize")))</f>
        <v>26905.686120991482</v>
      </c>
      <c r="AE23" s="195" cm="1">
        <f t="array" ref="AE23">AVERAGE(_xlfn._xlws.FILTER('Autonomie 2023 LDV'!$AH:$AH, ('Autonomie 2023 LDV'!$A:$A=$AA23)*('Autonomie 2023 LDV'!$B:$B=AE$3)*('Autonomie 2023 LDV'!$D:$D="Midsize")))</f>
        <v>26812.896585638271</v>
      </c>
      <c r="AF23" s="195">
        <f t="shared" si="36"/>
        <v>26416.566118197912</v>
      </c>
      <c r="AG23" s="195">
        <f t="shared" si="37"/>
        <v>26020.235650757553</v>
      </c>
      <c r="AH23" s="195" cm="1">
        <f t="array" ref="AH23">AVERAGE(_xlfn._xlws.FILTER('Autonomie 2023 LDV'!$AH:$AH, ('Autonomie 2023 LDV'!$A:$A=$AA23)*('Autonomie 2023 LDV'!$B:$B=AH$3)*('Autonomie 2023 LDV'!$D:$D="Midsize")))</f>
        <v>25623.905183317194</v>
      </c>
      <c r="AI23" s="85">
        <f t="shared" si="28"/>
        <v>-0.11457685544669458</v>
      </c>
      <c r="AK23" s="381" t="s">
        <v>4424</v>
      </c>
      <c r="AL23" s="406">
        <f t="shared" si="29"/>
        <v>33615.532715032386</v>
      </c>
      <c r="AM23" s="406">
        <f t="shared" si="30"/>
        <v>32379.551943143098</v>
      </c>
      <c r="AN23" s="406">
        <f t="shared" si="31"/>
        <v>31310.483324558409</v>
      </c>
      <c r="AO23" s="406">
        <f t="shared" si="32"/>
        <v>31202.72009605727</v>
      </c>
      <c r="AP23" s="406">
        <f t="shared" si="33"/>
        <v>30738.389111493212</v>
      </c>
      <c r="AQ23" s="406">
        <f t="shared" si="34"/>
        <v>30274.058126929158</v>
      </c>
      <c r="AR23" s="406">
        <f t="shared" si="35"/>
        <v>29809.727142365104</v>
      </c>
      <c r="AS23" s="114">
        <f t="shared" si="18"/>
        <v>-0.11321568528840778</v>
      </c>
      <c r="AT23" s="63"/>
      <c r="BB23" s="381" t="s">
        <v>1622</v>
      </c>
      <c r="BC23" s="206">
        <f>('OEO &amp; EPAUS9rT Data'!S44*'GREET-AFLEET Data'!$M$76 + 'OEO &amp; EPAUS9rT Data'!S48*'GREET-AFLEET Data'!$M$77)/km_mile*USD2018_to_CAD2020</f>
        <v>27.509018269206326</v>
      </c>
      <c r="BH23" s="63"/>
    </row>
    <row r="24" spans="1:60" x14ac:dyDescent="0.25">
      <c r="A24" t="s">
        <v>1022</v>
      </c>
      <c r="B24" t="s">
        <v>95</v>
      </c>
      <c r="C24" t="s">
        <v>4050</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4056</v>
      </c>
      <c r="S24" s="717">
        <v>3</v>
      </c>
      <c r="T24" s="377">
        <v>1</v>
      </c>
      <c r="U24" s="377">
        <v>1</v>
      </c>
      <c r="V24" s="377">
        <v>3</v>
      </c>
      <c r="W24" s="377">
        <v>1</v>
      </c>
      <c r="X24" s="1044"/>
      <c r="Z24" s="1044"/>
      <c r="AA24" s="17" t="s">
        <v>2997</v>
      </c>
      <c r="AB24" s="195" cm="1">
        <f t="array" ref="AB24">AVERAGE(_xlfn._xlws.FILTER('Autonomie 2023 LDV'!$AH:$AH, ('Autonomie 2023 LDV'!$A:$A=$AA24)*('Autonomie 2023 LDV'!$B:$B=AB$3)*('Autonomie 2023 LDV'!$D:$D="Midsize")))</f>
        <v>21094.366544790748</v>
      </c>
      <c r="AC24" s="195" cm="1">
        <f t="array" ref="AC24">AVERAGE(_xlfn._xlws.FILTER('Autonomie 2023 LDV'!$AH:$AH, ('Autonomie 2023 LDV'!$A:$A=$AA24)*('Autonomie 2023 LDV'!$B:$B=AC$3)*('Autonomie 2023 LDV'!$D:$D="Midsize")))</f>
        <v>19985.744046724529</v>
      </c>
      <c r="AD24" s="195" cm="1">
        <f t="array" ref="AD24">AVERAGE(_xlfn._xlws.FILTER('Autonomie 2023 LDV'!$AH:$AH, ('Autonomie 2023 LDV'!$A:$A=$AA24)*('Autonomie 2023 LDV'!$B:$B=AD$3)*('Autonomie 2023 LDV'!$D:$D="Midsize")))</f>
        <v>18892.509000274975</v>
      </c>
      <c r="AE24" s="195" cm="1">
        <f t="array" ref="AE24">AVERAGE(_xlfn._xlws.FILTER('Autonomie 2023 LDV'!$AH:$AH, ('Autonomie 2023 LDV'!$A:$A=$AA24)*('Autonomie 2023 LDV'!$B:$B=AE$3)*('Autonomie 2023 LDV'!$D:$D="Midsize")))</f>
        <v>17694.898797171059</v>
      </c>
      <c r="AF24" s="195">
        <f t="shared" si="36"/>
        <v>17285.197609073301</v>
      </c>
      <c r="AG24" s="195">
        <f t="shared" si="37"/>
        <v>16875.496420975542</v>
      </c>
      <c r="AH24" s="195" cm="1">
        <f t="array" ref="AH24">AVERAGE(_xlfn._xlws.FILTER('Autonomie 2023 LDV'!$AH:$AH, ('Autonomie 2023 LDV'!$A:$A=$AA24)*('Autonomie 2023 LDV'!$B:$B=AH$3)*('Autonomie 2023 LDV'!$D:$D="Midsize")))</f>
        <v>16465.795232877786</v>
      </c>
      <c r="AI24" s="85">
        <f t="shared" si="28"/>
        <v>-0.21942215245406299</v>
      </c>
      <c r="AK24" s="381" t="s">
        <v>2997</v>
      </c>
      <c r="AL24" s="406">
        <f t="shared" si="29"/>
        <v>26783.497476340788</v>
      </c>
      <c r="AM24" s="406">
        <f t="shared" si="30"/>
        <v>25166.469889078926</v>
      </c>
      <c r="AN24" s="406">
        <f t="shared" si="31"/>
        <v>23605.414856351439</v>
      </c>
      <c r="AO24" s="406">
        <f t="shared" si="32"/>
        <v>22401.120770439109</v>
      </c>
      <c r="AP24" s="406">
        <f t="shared" si="33"/>
        <v>21803.419185816438</v>
      </c>
      <c r="AQ24" s="406">
        <f t="shared" si="34"/>
        <v>21205.717601193766</v>
      </c>
      <c r="AR24" s="406">
        <f t="shared" si="35"/>
        <v>20608.016016571091</v>
      </c>
      <c r="AS24" s="114">
        <f t="shared" si="18"/>
        <v>-0.23057039004053934</v>
      </c>
      <c r="AT24" s="63"/>
      <c r="BB24" s="381" t="s">
        <v>1623</v>
      </c>
      <c r="BC24" s="206">
        <f>('OEO &amp; EPAUS9rT Data'!S45*'GREET-AFLEET Data'!$M$76 + 'OEO &amp; EPAUS9rT Data'!S49*'GREET-AFLEET Data'!$M$77)/km_mile*USD2018_to_CAD2020</f>
        <v>21.111052987350504</v>
      </c>
      <c r="BH24" s="63"/>
    </row>
    <row r="25" spans="1:60" ht="15.75" thickBot="1" x14ac:dyDescent="0.3">
      <c r="A25" t="s">
        <v>4421</v>
      </c>
      <c r="B25" t="s">
        <v>95</v>
      </c>
      <c r="C25" t="s">
        <v>4050</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4056</v>
      </c>
      <c r="S25" s="717">
        <v>3</v>
      </c>
      <c r="T25" s="377">
        <v>1</v>
      </c>
      <c r="U25" s="377">
        <v>1</v>
      </c>
      <c r="V25" s="377">
        <v>3</v>
      </c>
      <c r="W25" s="377">
        <v>1</v>
      </c>
      <c r="X25" s="1044"/>
      <c r="Z25" s="1044"/>
      <c r="AA25" s="17" t="s">
        <v>883</v>
      </c>
      <c r="AB25" s="195" cm="1">
        <f t="array" ref="AB25">AVERAGE(_xlfn._xlws.FILTER('Autonomie 2023 LDV'!$AH:$AH, ('Autonomie 2023 LDV'!$A:$A=$AA25)*('Autonomie 2023 LDV'!$B:$B=AB$3)*('Autonomie 2023 LDV'!$D:$D="Midsize")))</f>
        <v>23326.952748825162</v>
      </c>
      <c r="AC25" s="195" cm="1">
        <f t="array" ref="AC25">AVERAGE(_xlfn._xlws.FILTER('Autonomie 2023 LDV'!$AH:$AH, ('Autonomie 2023 LDV'!$A:$A=$AA25)*('Autonomie 2023 LDV'!$B:$B=AC$3)*('Autonomie 2023 LDV'!$D:$D="Midsize")))</f>
        <v>21663.648760432887</v>
      </c>
      <c r="AD25" s="195" cm="1">
        <f t="array" ref="AD25">AVERAGE(_xlfn._xlws.FILTER('Autonomie 2023 LDV'!$AH:$AH, ('Autonomie 2023 LDV'!$A:$A=$AA25)*('Autonomie 2023 LDV'!$B:$B=AD$3)*('Autonomie 2023 LDV'!$D:$D="Midsize")))</f>
        <v>20315.411135730155</v>
      </c>
      <c r="AE25" s="195" cm="1">
        <f t="array" ref="AE25">AVERAGE(_xlfn._xlws.FILTER('Autonomie 2023 LDV'!$AH:$AH, ('Autonomie 2023 LDV'!$A:$A=$AA25)*('Autonomie 2023 LDV'!$B:$B=AE$3)*('Autonomie 2023 LDV'!$D:$D="Midsize")))</f>
        <v>19108.392762381372</v>
      </c>
      <c r="AF25" s="195">
        <f t="shared" si="36"/>
        <v>18533.869725262921</v>
      </c>
      <c r="AG25" s="195">
        <f t="shared" si="37"/>
        <v>17959.346688144469</v>
      </c>
      <c r="AH25" s="195" cm="1">
        <f t="array" ref="AH25">AVERAGE(_xlfn._xlws.FILTER('Autonomie 2023 LDV'!$AH:$AH, ('Autonomie 2023 LDV'!$A:$A=$AA25)*('Autonomie 2023 LDV'!$B:$B=AH$3)*('Autonomie 2023 LDV'!$D:$D="Midsize")))</f>
        <v>17384.823651026018</v>
      </c>
      <c r="AI25" s="85">
        <f t="shared" si="28"/>
        <v>-0.25473233309903343</v>
      </c>
      <c r="AK25" s="381" t="s">
        <v>883</v>
      </c>
      <c r="AL25" s="406">
        <f t="shared" si="29"/>
        <v>29786.13366717795</v>
      </c>
      <c r="AM25" s="406">
        <f t="shared" si="30"/>
        <v>27501.73739036257</v>
      </c>
      <c r="AN25" s="406">
        <f t="shared" si="31"/>
        <v>25733.507098111622</v>
      </c>
      <c r="AO25" s="406">
        <f t="shared" si="32"/>
        <v>24110.126530140689</v>
      </c>
      <c r="AP25" s="406">
        <f t="shared" si="33"/>
        <v>23367.13244945226</v>
      </c>
      <c r="AQ25" s="406">
        <f t="shared" si="34"/>
        <v>22624.138368763823</v>
      </c>
      <c r="AR25" s="406">
        <f t="shared" si="35"/>
        <v>21881.144288075397</v>
      </c>
      <c r="AS25" s="114">
        <f t="shared" si="18"/>
        <v>-0.265391590175171</v>
      </c>
      <c r="AT25" s="63"/>
      <c r="BB25" s="388" t="s">
        <v>233</v>
      </c>
      <c r="BC25" s="68"/>
      <c r="BD25" s="418">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1044"/>
      <c r="Z26" s="1044"/>
      <c r="AA26" s="17" t="s">
        <v>884</v>
      </c>
      <c r="AB26" s="195" cm="1">
        <f t="array" ref="AB26">AVERAGE(_xlfn._xlws.FILTER('Autonomie 2023 LDV'!$AH:$AH, ('Autonomie 2023 LDV'!$A:$A=$AA26)*('Autonomie 2023 LDV'!$B:$B=AB$3)*('Autonomie 2023 LDV'!$D:$D="Midsize")))</f>
        <v>28135.36266870008</v>
      </c>
      <c r="AC26" s="195" cm="1">
        <f t="array" ref="AC26">AVERAGE(_xlfn._xlws.FILTER('Autonomie 2023 LDV'!$AH:$AH, ('Autonomie 2023 LDV'!$A:$A=$AA26)*('Autonomie 2023 LDV'!$B:$B=AC$3)*('Autonomie 2023 LDV'!$D:$D="Midsize")))</f>
        <v>25461.580868880617</v>
      </c>
      <c r="AD26" s="195" cm="1">
        <f t="array" ref="AD26">AVERAGE(_xlfn._xlws.FILTER('Autonomie 2023 LDV'!$AH:$AH, ('Autonomie 2023 LDV'!$A:$A=$AA26)*('Autonomie 2023 LDV'!$B:$B=AD$3)*('Autonomie 2023 LDV'!$D:$D="Midsize")))</f>
        <v>23548.20633945669</v>
      </c>
      <c r="AE26" s="195" cm="1">
        <f t="array" ref="AE26">AVERAGE(_xlfn._xlws.FILTER('Autonomie 2023 LDV'!$AH:$AH, ('Autonomie 2023 LDV'!$A:$A=$AA26)*('Autonomie 2023 LDV'!$B:$B=AE$3)*('Autonomie 2023 LDV'!$D:$D="Midsize")))</f>
        <v>21933.439528806746</v>
      </c>
      <c r="AF26" s="195">
        <f t="shared" si="36"/>
        <v>21121.566298556099</v>
      </c>
      <c r="AG26" s="195">
        <f t="shared" si="37"/>
        <v>20309.693068305452</v>
      </c>
      <c r="AH26" s="195" cm="1">
        <f t="array" ref="AH26">AVERAGE(_xlfn._xlws.FILTER('Autonomie 2023 LDV'!$AH:$AH, ('Autonomie 2023 LDV'!$A:$A=$AA26)*('Autonomie 2023 LDV'!$B:$B=AH$3)*('Autonomie 2023 LDV'!$D:$D="Midsize")))</f>
        <v>19497.819838054806</v>
      </c>
      <c r="AI26" s="85">
        <f t="shared" si="28"/>
        <v>-0.30699951986950341</v>
      </c>
      <c r="AK26" s="381" t="s">
        <v>884</v>
      </c>
      <c r="AL26" s="406">
        <f t="shared" si="29"/>
        <v>35595.81667879453</v>
      </c>
      <c r="AM26" s="406">
        <f t="shared" si="30"/>
        <v>32440.056876055627</v>
      </c>
      <c r="AN26" s="406">
        <f t="shared" si="31"/>
        <v>29853.390101562723</v>
      </c>
      <c r="AO26" s="406">
        <f t="shared" si="32"/>
        <v>27472.222461501551</v>
      </c>
      <c r="AP26" s="406">
        <f t="shared" si="33"/>
        <v>26504.356014012366</v>
      </c>
      <c r="AQ26" s="406">
        <f t="shared" si="34"/>
        <v>25536.489566523174</v>
      </c>
      <c r="AR26" s="406">
        <f t="shared" si="35"/>
        <v>24568.623119033989</v>
      </c>
      <c r="AS26" s="114">
        <f t="shared" si="18"/>
        <v>-0.30978903108942468</v>
      </c>
      <c r="AT26" s="63"/>
      <c r="AU26">
        <f>AL26/AL24</f>
        <v>1.3290204802505015</v>
      </c>
    </row>
    <row r="27" spans="1:60" x14ac:dyDescent="0.25">
      <c r="A27" t="s">
        <v>1033</v>
      </c>
      <c r="B27" t="s">
        <v>95</v>
      </c>
      <c r="C27" t="s">
        <v>4050</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4056</v>
      </c>
      <c r="S27" s="717">
        <v>3</v>
      </c>
      <c r="T27" s="377">
        <v>1</v>
      </c>
      <c r="U27" s="377">
        <v>1</v>
      </c>
      <c r="V27" s="377">
        <v>3</v>
      </c>
      <c r="W27" s="377">
        <v>1</v>
      </c>
      <c r="X27" s="1044"/>
      <c r="Z27" s="1044"/>
      <c r="AA27" s="17" t="s">
        <v>885</v>
      </c>
      <c r="AB27" s="195" cm="1">
        <f t="array" ref="AB27">AVERAGE(_xlfn._xlws.FILTER('Autonomie 2023 LDV'!$AH:$AH, ('Autonomie 2023 LDV'!$A:$A=$AA27)*('Autonomie 2023 LDV'!$B:$B=AB$3)*('Autonomie 2023 LDV'!$D:$D="Midsize")))</f>
        <v>34627.058008034925</v>
      </c>
      <c r="AC27" s="195" cm="1">
        <f t="array" ref="AC27">AVERAGE(_xlfn._xlws.FILTER('Autonomie 2023 LDV'!$AH:$AH, ('Autonomie 2023 LDV'!$A:$A=$AA27)*('Autonomie 2023 LDV'!$B:$B=AC$3)*('Autonomie 2023 LDV'!$D:$D="Midsize")))</f>
        <v>31341.747436864625</v>
      </c>
      <c r="AD27" s="195" cm="1">
        <f t="array" ref="AD27">AVERAGE(_xlfn._xlws.FILTER('Autonomie 2023 LDV'!$AH:$AH, ('Autonomie 2023 LDV'!$A:$A=$AA27)*('Autonomie 2023 LDV'!$B:$B=AD$3)*('Autonomie 2023 LDV'!$D:$D="Midsize")))</f>
        <v>27803.630253805022</v>
      </c>
      <c r="AE27" s="195" cm="1">
        <f t="array" ref="AE27">AVERAGE(_xlfn._xlws.FILTER('Autonomie 2023 LDV'!$AH:$AH, ('Autonomie 2023 LDV'!$A:$A=$AA27)*('Autonomie 2023 LDV'!$B:$B=AE$3)*('Autonomie 2023 LDV'!$D:$D="Midsize")))</f>
        <v>25033.520716366049</v>
      </c>
      <c r="AF27" s="195">
        <f t="shared" si="36"/>
        <v>24159.265353043691</v>
      </c>
      <c r="AG27" s="195">
        <f t="shared" si="37"/>
        <v>23285.009989721333</v>
      </c>
      <c r="AH27" s="195" cm="1">
        <f t="array" ref="AH27">AVERAGE(_xlfn._xlws.FILTER('Autonomie 2023 LDV'!$AH:$AH, ('Autonomie 2023 LDV'!$A:$A=$AA27)*('Autonomie 2023 LDV'!$B:$B=AH$3)*('Autonomie 2023 LDV'!$D:$D="Midsize")))</f>
        <v>22410.754626398972</v>
      </c>
      <c r="AI27" s="85">
        <f t="shared" si="28"/>
        <v>-0.35279645700195666</v>
      </c>
      <c r="AK27" s="381" t="s">
        <v>885</v>
      </c>
      <c r="AL27" s="406">
        <f t="shared" si="29"/>
        <v>44168.850452049359</v>
      </c>
      <c r="AM27" s="406">
        <f t="shared" si="30"/>
        <v>39727.944725286623</v>
      </c>
      <c r="AN27" s="406">
        <f t="shared" si="31"/>
        <v>35874.897885602433</v>
      </c>
      <c r="AO27" s="406">
        <f t="shared" si="32"/>
        <v>32625.376718875923</v>
      </c>
      <c r="AP27" s="406">
        <f t="shared" si="33"/>
        <v>31133.039865044317</v>
      </c>
      <c r="AQ27" s="406">
        <f t="shared" si="34"/>
        <v>29640.70301121271</v>
      </c>
      <c r="AR27" s="406">
        <f t="shared" si="35"/>
        <v>28148.366157381104</v>
      </c>
      <c r="AS27" s="114">
        <f t="shared" si="18"/>
        <v>-0.3627100123889444</v>
      </c>
      <c r="AT27" s="63"/>
      <c r="BB27" s="329" t="s">
        <v>1699</v>
      </c>
    </row>
    <row r="28" spans="1:60" ht="15.75" thickBot="1" x14ac:dyDescent="0.3">
      <c r="A28" t="s">
        <v>1034</v>
      </c>
      <c r="B28" t="s">
        <v>95</v>
      </c>
      <c r="C28" t="s">
        <v>4050</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4056</v>
      </c>
      <c r="S28" s="717">
        <v>3</v>
      </c>
      <c r="T28" s="377">
        <v>1</v>
      </c>
      <c r="U28" s="377">
        <v>1</v>
      </c>
      <c r="V28" s="377">
        <v>3</v>
      </c>
      <c r="W28" s="377">
        <v>1</v>
      </c>
      <c r="X28" s="1044"/>
      <c r="Z28" s="1044"/>
      <c r="AA28" s="17" t="s">
        <v>567</v>
      </c>
      <c r="AB28" s="195" cm="1">
        <f t="array" ref="AB28">AVERAGE(_xlfn._xlws.FILTER('Autonomie 2023 LDV'!$AH:$AH, ('Autonomie 2023 LDV'!$A:$A=$AA28)*('Autonomie 2023 LDV'!$B:$B=AB$3)*('Autonomie 2023 LDV'!$D:$D="Midsize")))</f>
        <v>36590.040684128442</v>
      </c>
      <c r="AC28" s="195" cm="1">
        <f t="array" ref="AC28">AVERAGE(_xlfn._xlws.FILTER('Autonomie 2023 LDV'!$AH:$AH, ('Autonomie 2023 LDV'!$A:$A=$AA28)*('Autonomie 2023 LDV'!$B:$B=AC$3)*('Autonomie 2023 LDV'!$D:$D="Midsize")))</f>
        <v>34176.711433599135</v>
      </c>
      <c r="AD28" s="195" cm="1">
        <f t="array" ref="AD28">AVERAGE(_xlfn._xlws.FILTER('Autonomie 2023 LDV'!$AH:$AH, ('Autonomie 2023 LDV'!$A:$A=$AA28)*('Autonomie 2023 LDV'!$B:$B=AD$3)*('Autonomie 2023 LDV'!$D:$D="Midsize")))</f>
        <v>28143.313733927487</v>
      </c>
      <c r="AE28" s="195" cm="1">
        <f t="array" ref="AE28">AVERAGE(_xlfn._xlws.FILTER('Autonomie 2023 LDV'!$AH:$AH, ('Autonomie 2023 LDV'!$A:$A=$AA28)*('Autonomie 2023 LDV'!$B:$B=AE$3)*('Autonomie 2023 LDV'!$D:$D="Midsize")))</f>
        <v>26863.341568426164</v>
      </c>
      <c r="AF28" s="195">
        <f t="shared" si="36"/>
        <v>25759.321447498962</v>
      </c>
      <c r="AG28" s="195">
        <f t="shared" si="37"/>
        <v>24655.30132657176</v>
      </c>
      <c r="AH28" s="195" cm="1">
        <f t="array" ref="AH28">AVERAGE(_xlfn._xlws.FILTER('Autonomie 2023 LDV'!$AH:$AH, ('Autonomie 2023 LDV'!$A:$A=$AA28)*('Autonomie 2023 LDV'!$B:$B=AH$3)*('Autonomie 2023 LDV'!$D:$D="Midsize")))</f>
        <v>23551.281205644558</v>
      </c>
      <c r="AI28" s="85">
        <f t="shared" si="28"/>
        <v>-0.35634722549351167</v>
      </c>
      <c r="AK28" s="381" t="s">
        <v>567</v>
      </c>
      <c r="AL28" s="406">
        <f t="shared" si="29"/>
        <v>44549.654688286762</v>
      </c>
      <c r="AM28" s="406">
        <f t="shared" si="30"/>
        <v>41535.565214350827</v>
      </c>
      <c r="AN28" s="406">
        <f t="shared" si="31"/>
        <v>34077.940376260522</v>
      </c>
      <c r="AO28" s="406">
        <f t="shared" si="32"/>
        <v>32514.776098670231</v>
      </c>
      <c r="AP28" s="406">
        <f t="shared" si="33"/>
        <v>31118.00017984353</v>
      </c>
      <c r="AQ28" s="406">
        <f t="shared" si="34"/>
        <v>29721.22426101684</v>
      </c>
      <c r="AR28" s="406">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4050</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4056</v>
      </c>
      <c r="S29" s="717">
        <v>3</v>
      </c>
      <c r="T29" s="377">
        <v>1</v>
      </c>
      <c r="U29" s="377">
        <v>1</v>
      </c>
      <c r="V29" s="377">
        <v>3</v>
      </c>
      <c r="W29" s="377">
        <v>1</v>
      </c>
      <c r="X29" s="1044"/>
      <c r="Z29" s="1044"/>
      <c r="AA29" s="17"/>
      <c r="AB29" s="195"/>
      <c r="AC29" s="195"/>
      <c r="AD29" s="195"/>
      <c r="AE29" s="195"/>
      <c r="AF29" s="195"/>
      <c r="AG29" s="195"/>
      <c r="AH29" s="195"/>
      <c r="AI29" s="85"/>
      <c r="AK29" s="407" t="s">
        <v>1918</v>
      </c>
      <c r="AL29" s="406"/>
      <c r="AM29" s="406"/>
      <c r="AN29" s="406"/>
      <c r="AO29" s="406"/>
      <c r="AP29" s="406"/>
      <c r="AQ29" s="406"/>
      <c r="AR29" s="406"/>
      <c r="AS29" s="114"/>
      <c r="AT29" s="63"/>
      <c r="BB29" t="s">
        <v>1681</v>
      </c>
      <c r="BC29" t="s">
        <v>1682</v>
      </c>
      <c r="BD29" s="330">
        <v>985.6</v>
      </c>
      <c r="BE29" s="330">
        <v>985.6</v>
      </c>
      <c r="BF29" s="330">
        <v>985.6</v>
      </c>
      <c r="BG29" s="330">
        <v>985.6</v>
      </c>
    </row>
    <row r="30" spans="1:60" x14ac:dyDescent="0.25">
      <c r="A30" t="s">
        <v>1036</v>
      </c>
      <c r="B30" t="s">
        <v>95</v>
      </c>
      <c r="C30" t="s">
        <v>4050</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4056</v>
      </c>
      <c r="S30" s="717">
        <v>3</v>
      </c>
      <c r="T30" s="377">
        <v>1</v>
      </c>
      <c r="U30" s="377">
        <v>1</v>
      </c>
      <c r="V30" s="377">
        <v>3</v>
      </c>
      <c r="W30" s="377">
        <v>1</v>
      </c>
      <c r="X30" s="1044"/>
      <c r="Z30" s="1044"/>
      <c r="AA30" s="28" t="s">
        <v>3031</v>
      </c>
      <c r="AK30" s="64"/>
      <c r="AT30" s="63"/>
      <c r="BC30" t="s">
        <v>247</v>
      </c>
      <c r="BD30" s="330">
        <v>3768.4456165138263</v>
      </c>
      <c r="BE30" s="330">
        <v>1322.325833030967</v>
      </c>
      <c r="BF30" s="330">
        <v>1052.0692637553468</v>
      </c>
      <c r="BG30" s="330">
        <v>1052.0692637553468</v>
      </c>
    </row>
    <row r="31" spans="1:60" ht="15.75" x14ac:dyDescent="0.25">
      <c r="A31" t="s">
        <v>4392</v>
      </c>
      <c r="B31" t="s">
        <v>95</v>
      </c>
      <c r="C31" t="s">
        <v>4050</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4056</v>
      </c>
      <c r="S31" s="717">
        <v>3</v>
      </c>
      <c r="T31" s="377">
        <v>1</v>
      </c>
      <c r="U31" s="377">
        <v>1</v>
      </c>
      <c r="V31" s="377">
        <v>3</v>
      </c>
      <c r="W31" s="377">
        <v>1</v>
      </c>
      <c r="X31" s="1044"/>
      <c r="Z31" s="1044"/>
      <c r="AA31" s="17" t="s">
        <v>890</v>
      </c>
      <c r="AB31" s="195" cm="1">
        <f t="array" ref="AB31">AVERAGE(_xlfn._xlws.FILTER('Autonomie 2023 LDV'!$AH:$AH, ('Autonomie 2023 LDV'!$A:$A=$AA31)*('Autonomie 2023 LDV'!$B:$B=AB$3)*('Autonomie 2023 LDV'!$D:$D="Small SUV")))</f>
        <v>23789.837670094286</v>
      </c>
      <c r="AC31" s="195" cm="1">
        <f t="array" ref="AC31">AVERAGE(_xlfn._xlws.FILTER('Autonomie 2023 LDV'!$AH:$AH, ('Autonomie 2023 LDV'!$A:$A=$AA31)*('Autonomie 2023 LDV'!$B:$B=AC$3)*('Autonomie 2023 LDV'!$D:$D="Small SUV")))</f>
        <v>23776.965142846268</v>
      </c>
      <c r="AD31" s="195" cm="1">
        <f t="array" ref="AD31">AVERAGE(_xlfn._xlws.FILTER('Autonomie 2023 LDV'!$AH:$AH, ('Autonomie 2023 LDV'!$A:$A=$AA31)*('Autonomie 2023 LDV'!$B:$B=AD$3)*('Autonomie 2023 LDV'!$D:$D="Small SUV")))</f>
        <v>24358.414906536193</v>
      </c>
      <c r="AE31" s="195" cm="1">
        <f t="array" ref="AE31">AVERAGE(_xlfn._xlws.FILTER('Autonomie 2023 LDV'!$AH:$AH,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LDV'!$AH:$AH, ('Autonomie 2023 LDV'!$A:$A=$AA31)*('Autonomie 2023 LDV'!$B:$B=AH$3)*('Autonomie 2023 LDV'!$D:$D="Small SUV")))</f>
        <v>25492.262840931307</v>
      </c>
      <c r="AI31" s="85">
        <f>(AH31-AB31)/AB31</f>
        <v>7.1561025108511131E-2</v>
      </c>
      <c r="AK31" s="384" t="s">
        <v>1919</v>
      </c>
      <c r="AL31" s="369"/>
      <c r="AM31" s="369"/>
      <c r="AN31" s="369"/>
      <c r="AO31" s="369"/>
      <c r="AP31" s="369"/>
      <c r="AQ31" s="369"/>
      <c r="AR31" s="369"/>
      <c r="AS31" s="159"/>
      <c r="AT31" s="63"/>
      <c r="BB31" t="s">
        <v>1683</v>
      </c>
      <c r="BC31" t="s">
        <v>1682</v>
      </c>
      <c r="BD31" s="330">
        <v>4032</v>
      </c>
      <c r="BE31" s="330">
        <v>4032</v>
      </c>
      <c r="BF31" s="330">
        <v>4032</v>
      </c>
      <c r="BG31" s="330">
        <v>4032</v>
      </c>
    </row>
    <row r="32" spans="1:60" ht="16.5" thickBot="1" x14ac:dyDescent="0.3">
      <c r="A32" t="s">
        <v>1037</v>
      </c>
      <c r="B32" t="s">
        <v>95</v>
      </c>
      <c r="C32" t="s">
        <v>4050</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4056</v>
      </c>
      <c r="S32" s="717">
        <v>3</v>
      </c>
      <c r="T32" s="377">
        <v>1</v>
      </c>
      <c r="U32" s="377">
        <v>1</v>
      </c>
      <c r="V32" s="377">
        <v>3</v>
      </c>
      <c r="W32" s="377">
        <v>1</v>
      </c>
      <c r="X32" s="1044"/>
      <c r="Z32" s="1044"/>
      <c r="AA32" s="17" t="s">
        <v>887</v>
      </c>
      <c r="AB32" s="195" cm="1">
        <f t="array" ref="AB32">AVERAGE(_xlfn._xlws.FILTER('Autonomie 2023 LDV'!$AH:$AH, ('Autonomie 2023 LDV'!$A:$A=$AA32)*('Autonomie 2023 LDV'!$B:$B=AB$3)*('Autonomie 2023 LDV'!$D:$D="Small SUV")))</f>
        <v>27255.691104358797</v>
      </c>
      <c r="AC32" s="195" cm="1">
        <f t="array" ref="AC32">AVERAGE(_xlfn._xlws.FILTER('Autonomie 2023 LDV'!$AH:$AH, ('Autonomie 2023 LDV'!$A:$A=$AA32)*('Autonomie 2023 LDV'!$B:$B=AC$3)*('Autonomie 2023 LDV'!$D:$D="Small SUV")))</f>
        <v>27193.048988487433</v>
      </c>
      <c r="AD32" s="195" cm="1">
        <f t="array" ref="AD32">AVERAGE(_xlfn._xlws.FILTER('Autonomie 2023 LDV'!$AH:$AH, ('Autonomie 2023 LDV'!$A:$A=$AA32)*('Autonomie 2023 LDV'!$B:$B=AD$3)*('Autonomie 2023 LDV'!$D:$D="Small SUV")))</f>
        <v>27251.679698490167</v>
      </c>
      <c r="AE32" s="195" cm="1">
        <f t="array" ref="AE32">AVERAGE(_xlfn._xlws.FILTER('Autonomie 2023 LDV'!$AH:$AH,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LDV'!$AH:$AH,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3049</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4397</v>
      </c>
      <c r="B33" t="s">
        <v>95</v>
      </c>
      <c r="C33" t="s">
        <v>4050</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4056</v>
      </c>
      <c r="S33" s="717">
        <v>3</v>
      </c>
      <c r="T33" s="377">
        <v>1</v>
      </c>
      <c r="U33" s="377">
        <v>1</v>
      </c>
      <c r="V33" s="377">
        <v>3</v>
      </c>
      <c r="W33" s="377">
        <v>1</v>
      </c>
      <c r="X33" s="1044"/>
      <c r="Z33" s="1044"/>
      <c r="AA33" s="17" t="s">
        <v>889</v>
      </c>
      <c r="AB33" s="195" cm="1">
        <f t="array" ref="AB33">AVERAGE(_xlfn._xlws.FILTER('Autonomie 2023 LDV'!$AH:$AH, ('Autonomie 2023 LDV'!$A:$A=$AA33)*('Autonomie 2023 LDV'!$B:$B=AB$3)*('Autonomie 2023 LDV'!$D:$D="Small SUV")))</f>
        <v>29632.782378897558</v>
      </c>
      <c r="AC33" s="195" cm="1">
        <f t="array" ref="AC33">AVERAGE(_xlfn._xlws.FILTER('Autonomie 2023 LDV'!$AH:$AH, ('Autonomie 2023 LDV'!$A:$A=$AA33)*('Autonomie 2023 LDV'!$B:$B=AC$3)*('Autonomie 2023 LDV'!$D:$D="Small SUV")))</f>
        <v>29558.000137458443</v>
      </c>
      <c r="AD33" s="195" cm="1">
        <f t="array" ref="AD33">AVERAGE(_xlfn._xlws.FILTER('Autonomie 2023 LDV'!$AH:$AH, ('Autonomie 2023 LDV'!$A:$A=$AA33)*('Autonomie 2023 LDV'!$B:$B=AD$3)*('Autonomie 2023 LDV'!$D:$D="Small SUV")))</f>
        <v>29573.427383177408</v>
      </c>
      <c r="AE33" s="195" cm="1">
        <f t="array" ref="AE33">AVERAGE(_xlfn._xlws.FILTER('Autonomie 2023 LDV'!$AH:$AH, ('Autonomie 2023 LDV'!$A:$A=$AA33)*('Autonomie 2023 LDV'!$B:$B=AE$3)*('Autonomie 2023 LDV'!$D:$D="Small SUV")))</f>
        <v>29625.800150594448</v>
      </c>
      <c r="AF33" s="195">
        <f t="shared" si="47"/>
        <v>29590.632836157656</v>
      </c>
      <c r="AG33" s="195">
        <f t="shared" si="48"/>
        <v>29555.465521720864</v>
      </c>
      <c r="AH33" s="195" cm="1">
        <f t="array" ref="AH33">AVERAGE(_xlfn._xlws.FILTER('Autonomie 2023 LDV'!$AH:$AH, ('Autonomie 2023 LDV'!$A:$A=$AA33)*('Autonomie 2023 LDV'!$B:$B=AH$3)*('Autonomie 2023 LDV'!$D:$D="Small SUV")))</f>
        <v>29520.298207284071</v>
      </c>
      <c r="AI33" s="85">
        <f t="shared" si="49"/>
        <v>-3.79593688419858E-3</v>
      </c>
      <c r="AK33" s="379" t="s">
        <v>4006</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4050</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4056</v>
      </c>
      <c r="S34" s="717">
        <v>3</v>
      </c>
      <c r="T34" s="377">
        <v>1</v>
      </c>
      <c r="U34" s="377">
        <v>1</v>
      </c>
      <c r="V34" s="377">
        <v>3</v>
      </c>
      <c r="W34" s="377">
        <v>1</v>
      </c>
      <c r="X34" s="1044"/>
      <c r="Z34" s="1044"/>
      <c r="AA34" s="17" t="s">
        <v>3001</v>
      </c>
      <c r="AB34" s="195" cm="1">
        <f t="array" ref="AB34">AVERAGE(_xlfn._xlws.FILTER('Autonomie 2023 LDV'!$AH:$AH, ('Autonomie 2023 LDV'!$A:$A=$AA34)*('Autonomie 2023 LDV'!$B:$B=AB$3)*('Autonomie 2023 LDV'!$D:$D="Small SUV")))</f>
        <v>27236.420434500167</v>
      </c>
      <c r="AC34" s="195" cm="1">
        <f t="array" ref="AC34">AVERAGE(_xlfn._xlws.FILTER('Autonomie 2023 LDV'!$AH:$AH, ('Autonomie 2023 LDV'!$A:$A=$AA34)*('Autonomie 2023 LDV'!$B:$B=AC$3)*('Autonomie 2023 LDV'!$D:$D="Small SUV")))</f>
        <v>26478.699710612796</v>
      </c>
      <c r="AD34" s="195" cm="1">
        <f t="array" ref="AD34">AVERAGE(_xlfn._xlws.FILTER('Autonomie 2023 LDV'!$AH:$AH, ('Autonomie 2023 LDV'!$A:$A=$AA34)*('Autonomie 2023 LDV'!$B:$B=AD$3)*('Autonomie 2023 LDV'!$D:$D="Small SUV")))</f>
        <v>25734.957007860921</v>
      </c>
      <c r="AE34" s="195" cm="1">
        <f t="array" ref="AE34">AVERAGE(_xlfn._xlws.FILTER('Autonomie 2023 LDV'!$AH:$AH, ('Autonomie 2023 LDV'!$A:$A=$AA34)*('Autonomie 2023 LDV'!$B:$B=AE$3)*('Autonomie 2023 LDV'!$D:$D="Small SUV")))</f>
        <v>25387.279841057854</v>
      </c>
      <c r="AF34" s="195">
        <f t="shared" si="47"/>
        <v>25076.27790256777</v>
      </c>
      <c r="AG34" s="195">
        <f t="shared" si="48"/>
        <v>24765.275964077686</v>
      </c>
      <c r="AH34" s="195" cm="1">
        <f t="array" ref="AH34">AVERAGE(_xlfn._xlws.FILTER('Autonomie 2023 LDV'!$AH:$AH, ('Autonomie 2023 LDV'!$A:$A=$AA34)*('Autonomie 2023 LDV'!$B:$B=AH$3)*('Autonomie 2023 LDV'!$D:$D="Small SUV")))</f>
        <v>24454.274025587598</v>
      </c>
      <c r="AI34" s="85">
        <f t="shared" si="49"/>
        <v>-0.10214801961965771</v>
      </c>
      <c r="AK34" s="381" t="s">
        <v>888</v>
      </c>
      <c r="AL34" s="406">
        <f>SUM(AB72*$AC$144, AB80*$AC$145, AB88*$AC$146, AB96*$AC$147, AB104*$AC$148, AB112*$AC$149)</f>
        <v>55121.422300834747</v>
      </c>
      <c r="AM34" s="406">
        <f t="shared" ref="AM34:AR34" si="50">SUM(AC72*$AC$144, AC80*$AC$145, AC88*$AC$146, AC96*$AC$147, AC104*$AC$148, AC112*$AC$149)</f>
        <v>55451.835889878836</v>
      </c>
      <c r="AN34" s="406">
        <f t="shared" si="50"/>
        <v>55689.484092191786</v>
      </c>
      <c r="AO34" s="406">
        <f t="shared" si="50"/>
        <v>55401.098698053014</v>
      </c>
      <c r="AP34" s="406">
        <f t="shared" si="50"/>
        <v>55413.930831033686</v>
      </c>
      <c r="AQ34" s="406">
        <f t="shared" si="50"/>
        <v>55426.762964014371</v>
      </c>
      <c r="AR34" s="406">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4050</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4056</v>
      </c>
      <c r="S35" s="717">
        <v>3</v>
      </c>
      <c r="T35" s="377">
        <v>1</v>
      </c>
      <c r="U35" s="377">
        <v>1</v>
      </c>
      <c r="V35" s="377">
        <v>3</v>
      </c>
      <c r="W35" s="377">
        <v>1</v>
      </c>
      <c r="X35" s="1044"/>
      <c r="Z35" s="1044"/>
      <c r="AA35" s="17" t="s">
        <v>4423</v>
      </c>
      <c r="AB35" s="195" cm="1">
        <f t="array" ref="AB35">AVERAGE(_xlfn._xlws.FILTER('Autonomie 2023 LDV'!$AH:$AH, ('Autonomie 2023 LDV'!$A:$A=$AA35)*('Autonomie 2023 LDV'!$B:$B=AB$3)*('Autonomie 2023 LDV'!$D:$D="Small SUV")))</f>
        <v>29908.079868056204</v>
      </c>
      <c r="AC35" s="195" cm="1">
        <f t="array" ref="AC35">AVERAGE(_xlfn._xlws.FILTER('Autonomie 2023 LDV'!$AH:$AH, ('Autonomie 2023 LDV'!$A:$A=$AA35)*('Autonomie 2023 LDV'!$B:$B=AC$3)*('Autonomie 2023 LDV'!$D:$D="Small SUV")))</f>
        <v>29034.413282779638</v>
      </c>
      <c r="AD35" s="195" cm="1">
        <f t="array" ref="AD35">AVERAGE(_xlfn._xlws.FILTER('Autonomie 2023 LDV'!$AH:$AH, ('Autonomie 2023 LDV'!$A:$A=$AA35)*('Autonomie 2023 LDV'!$B:$B=AD$3)*('Autonomie 2023 LDV'!$D:$D="Small SUV")))</f>
        <v>28461.451064748562</v>
      </c>
      <c r="AE35" s="195" cm="1">
        <f t="array" ref="AE35">AVERAGE(_xlfn._xlws.FILTER('Autonomie 2023 LDV'!$AH:$AH, ('Autonomie 2023 LDV'!$A:$A=$AA35)*('Autonomie 2023 LDV'!$B:$B=AE$3)*('Autonomie 2023 LDV'!$D:$D="Small SUV")))</f>
        <v>28481.706665490819</v>
      </c>
      <c r="AF35" s="195">
        <f t="shared" si="47"/>
        <v>28123.740887879296</v>
      </c>
      <c r="AG35" s="195">
        <f t="shared" si="48"/>
        <v>27765.775110267772</v>
      </c>
      <c r="AH35" s="195" cm="1">
        <f t="array" ref="AH35">AVERAGE(_xlfn._xlws.FILTER('Autonomie 2023 LDV'!$AH:$AH, ('Autonomie 2023 LDV'!$A:$A=$AA35)*('Autonomie 2023 LDV'!$B:$B=AH$3)*('Autonomie 2023 LDV'!$D:$D="Small SUV")))</f>
        <v>27407.809332656245</v>
      </c>
      <c r="AI35" s="85">
        <f t="shared" si="49"/>
        <v>-8.3598497343535999E-2</v>
      </c>
      <c r="AK35" s="381" t="s">
        <v>4007</v>
      </c>
      <c r="AL35" s="406">
        <f>SUM(AB73*$AC$144,AB81*$AC$145,AB89*$AC$146,AB97*$AC$147,AB105*$AC$148)/SUM($AC$144:$AC$148)</f>
        <v>54210.860346525318</v>
      </c>
      <c r="AM35" s="406">
        <f t="shared" ref="AM35:AR35" si="52">SUM(AC73*$AC$144,AC81*$AC$145,AC89*$AC$146,AC97*$AC$147,AC105*$AC$148)/SUM($AC$144:$AC$148)</f>
        <v>54668.78216436514</v>
      </c>
      <c r="AN35" s="406">
        <f t="shared" si="52"/>
        <v>55062.525496488262</v>
      </c>
      <c r="AO35" s="406">
        <f t="shared" si="52"/>
        <v>55321.392263576214</v>
      </c>
      <c r="AP35" s="406">
        <f t="shared" si="52"/>
        <v>55456.613071045293</v>
      </c>
      <c r="AQ35" s="406">
        <f t="shared" si="52"/>
        <v>55591.833878514386</v>
      </c>
      <c r="AR35" s="406">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4050</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4056</v>
      </c>
      <c r="S36" s="717">
        <v>3</v>
      </c>
      <c r="T36" s="377">
        <v>1</v>
      </c>
      <c r="U36" s="377">
        <v>1</v>
      </c>
      <c r="V36" s="377">
        <v>3</v>
      </c>
      <c r="W36" s="377">
        <v>1</v>
      </c>
      <c r="X36" s="1044"/>
      <c r="Z36" s="1044"/>
      <c r="AA36" s="17" t="s">
        <v>4424</v>
      </c>
      <c r="AB36" s="195" cm="1">
        <f t="array" ref="AB36">AVERAGE(_xlfn._xlws.FILTER('Autonomie 2023 LDV'!$AH:$AH, ('Autonomie 2023 LDV'!$A:$A=$AA36)*('Autonomie 2023 LDV'!$B:$B=AB$3)*('Autonomie 2023 LDV'!$D:$D="Small SUV")))</f>
        <v>31813.620363183883</v>
      </c>
      <c r="AC36" s="195" cm="1">
        <f t="array" ref="AC36">AVERAGE(_xlfn._xlws.FILTER('Autonomie 2023 LDV'!$AH:$AH, ('Autonomie 2023 LDV'!$A:$A=$AA36)*('Autonomie 2023 LDV'!$B:$B=AC$3)*('Autonomie 2023 LDV'!$D:$D="Small SUV")))</f>
        <v>30667.958848639075</v>
      </c>
      <c r="AD36" s="195" cm="1">
        <f t="array" ref="AD36">AVERAGE(_xlfn._xlws.FILTER('Autonomie 2023 LDV'!$AH:$AH, ('Autonomie 2023 LDV'!$A:$A=$AA36)*('Autonomie 2023 LDV'!$B:$B=AD$3)*('Autonomie 2023 LDV'!$D:$D="Small SUV")))</f>
        <v>29661.975228177871</v>
      </c>
      <c r="AE36" s="195" cm="1">
        <f t="array" ref="AE36">AVERAGE(_xlfn._xlws.FILTER('Autonomie 2023 LDV'!$AH:$AH, ('Autonomie 2023 LDV'!$A:$A=$AA36)*('Autonomie 2023 LDV'!$B:$B=AE$3)*('Autonomie 2023 LDV'!$D:$D="Small SUV")))</f>
        <v>29581.80789857182</v>
      </c>
      <c r="AF36" s="195">
        <f t="shared" si="47"/>
        <v>29140.581885913012</v>
      </c>
      <c r="AG36" s="195">
        <f t="shared" si="48"/>
        <v>28699.355873254204</v>
      </c>
      <c r="AH36" s="195" cm="1">
        <f t="array" ref="AH36">AVERAGE(_xlfn._xlws.FILTER('Autonomie 2023 LDV'!$AH:$AH, ('Autonomie 2023 LDV'!$A:$A=$AA36)*('Autonomie 2023 LDV'!$B:$B=AH$3)*('Autonomie 2023 LDV'!$D:$D="Small SUV")))</f>
        <v>28258.129860595396</v>
      </c>
      <c r="AI36" s="85">
        <f t="shared" si="49"/>
        <v>-0.11176000914070933</v>
      </c>
      <c r="AK36" s="381" t="s">
        <v>907</v>
      </c>
      <c r="AL36" s="406">
        <f>SUM(AB74*$AC$144, AB82*$AC$145, AB90*$AC$146, AB98*$AC$147, AB106*$AC$148, AB113*$AC$149)</f>
        <v>62007.343707239415</v>
      </c>
      <c r="AM36" s="406">
        <f t="shared" ref="AM36:AR40" si="54">SUM(AC74*$AC$144, AC82*$AC$145, AC90*$AC$146, AC98*$AC$147, AC106*$AC$148, AC113*$AC$149)</f>
        <v>61337.557323486151</v>
      </c>
      <c r="AN36" s="406">
        <f t="shared" si="54"/>
        <v>60741.506516622023</v>
      </c>
      <c r="AO36" s="406">
        <f t="shared" si="54"/>
        <v>60269.081868218491</v>
      </c>
      <c r="AP36" s="406">
        <f t="shared" si="54"/>
        <v>60186.007170772929</v>
      </c>
      <c r="AQ36" s="406">
        <f t="shared" si="54"/>
        <v>60102.932473327368</v>
      </c>
      <c r="AR36" s="406">
        <f t="shared" si="54"/>
        <v>60019.857775881799</v>
      </c>
      <c r="AS36" s="114">
        <f t="shared" si="51"/>
        <v>-3.2052428188849756E-2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93" t="s">
        <v>2149</v>
      </c>
      <c r="BC36" s="1094"/>
      <c r="BD36" s="1094"/>
      <c r="BE36" s="1094"/>
      <c r="BF36" s="1094"/>
      <c r="BG36" s="1094"/>
      <c r="BH36" s="1094"/>
      <c r="BI36" s="1095"/>
    </row>
    <row r="37" spans="1:61" x14ac:dyDescent="0.25">
      <c r="A37" t="s">
        <v>4422</v>
      </c>
      <c r="B37" t="s">
        <v>95</v>
      </c>
      <c r="C37" t="s">
        <v>4050</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4056</v>
      </c>
      <c r="S37" s="717">
        <v>3</v>
      </c>
      <c r="T37" s="377">
        <v>1</v>
      </c>
      <c r="U37" s="377">
        <v>1</v>
      </c>
      <c r="V37" s="377">
        <v>3</v>
      </c>
      <c r="W37" s="377">
        <v>1</v>
      </c>
      <c r="X37" s="1044"/>
      <c r="Z37" s="1044"/>
      <c r="AA37" s="17" t="s">
        <v>2997</v>
      </c>
      <c r="AB37" s="195" cm="1">
        <f t="array" ref="AB37">AVERAGE(_xlfn._xlws.FILTER('Autonomie 2023 LDV'!$AH:$AH, ('Autonomie 2023 LDV'!$A:$A=$AA37)*('Autonomie 2023 LDV'!$B:$B=AB$3)*('Autonomie 2023 LDV'!$D:$D="Small SUV")))</f>
        <v>24759.56823107335</v>
      </c>
      <c r="AC37" s="195" cm="1">
        <f t="array" ref="AC37">AVERAGE(_xlfn._xlws.FILTER('Autonomie 2023 LDV'!$AH:$AH, ('Autonomie 2023 LDV'!$A:$A=$AA37)*('Autonomie 2023 LDV'!$B:$B=AC$3)*('Autonomie 2023 LDV'!$D:$D="Small SUV")))</f>
        <v>23371.239912614106</v>
      </c>
      <c r="AD37" s="195" cm="1">
        <f t="array" ref="AD37">AVERAGE(_xlfn._xlws.FILTER('Autonomie 2023 LDV'!$AH:$AH, ('Autonomie 2023 LDV'!$A:$A=$AA37)*('Autonomie 2023 LDV'!$B:$B=AD$3)*('Autonomie 2023 LDV'!$D:$D="Small SUV")))</f>
        <v>21822.348765464641</v>
      </c>
      <c r="AE37" s="195" cm="1">
        <f t="array" ref="AE37">AVERAGE(_xlfn._xlws.FILTER('Autonomie 2023 LDV'!$AH:$AH, ('Autonomie 2023 LDV'!$A:$A=$AA37)*('Autonomie 2023 LDV'!$B:$B=AE$3)*('Autonomie 2023 LDV'!$D:$D="Small SUV")))</f>
        <v>20908.015369682002</v>
      </c>
      <c r="AF37" s="195">
        <f t="shared" si="47"/>
        <v>20338.147946200956</v>
      </c>
      <c r="AG37" s="195">
        <f t="shared" si="48"/>
        <v>19768.28052271991</v>
      </c>
      <c r="AH37" s="195" cm="1">
        <f t="array" ref="AH37">AVERAGE(_xlfn._xlws.FILTER('Autonomie 2023 LDV'!$AH:$AH, ('Autonomie 2023 LDV'!$A:$A=$AA37)*('Autonomie 2023 LDV'!$B:$B=AH$3)*('Autonomie 2023 LDV'!$D:$D="Small SUV")))</f>
        <v>19198.41309923886</v>
      </c>
      <c r="AI37" s="85">
        <f t="shared" si="49"/>
        <v>-0.22460630492155431</v>
      </c>
      <c r="AK37" s="381" t="s">
        <v>908</v>
      </c>
      <c r="AL37" s="406">
        <f t="shared" ref="AL37:AL40" si="55">SUM(AB75*$AC$144, AB83*$AC$145, AB91*$AC$146, AB99*$AC$147, AB107*$AC$148, AB114*$AC$149)</f>
        <v>108883.64677882158</v>
      </c>
      <c r="AM37" s="406">
        <f t="shared" si="54"/>
        <v>95707.305359954262</v>
      </c>
      <c r="AN37" s="406">
        <f t="shared" si="54"/>
        <v>81822.28322923946</v>
      </c>
      <c r="AO37" s="406">
        <f t="shared" si="54"/>
        <v>73248.413151873465</v>
      </c>
      <c r="AP37" s="406">
        <f t="shared" si="54"/>
        <v>69787.680186165147</v>
      </c>
      <c r="AQ37" s="406">
        <f t="shared" si="54"/>
        <v>66326.947220456845</v>
      </c>
      <c r="AR37" s="406">
        <f t="shared" si="54"/>
        <v>62866.214254748542</v>
      </c>
      <c r="AS37" s="114">
        <f t="shared" si="51"/>
        <v>-0.42262942035317341</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9" t="s">
        <v>1700</v>
      </c>
      <c r="BI37" s="63"/>
    </row>
    <row r="38" spans="1:61" ht="15.75" thickBot="1" x14ac:dyDescent="0.3">
      <c r="K38" s="277"/>
      <c r="L38" s="73"/>
      <c r="M38" s="73"/>
      <c r="N38" s="73"/>
      <c r="O38" s="73"/>
      <c r="P38" s="73"/>
      <c r="Q38" s="73"/>
      <c r="X38" s="1044"/>
      <c r="Z38" s="1044"/>
      <c r="AA38" s="17" t="s">
        <v>883</v>
      </c>
      <c r="AB38" s="195" cm="1">
        <f t="array" ref="AB38">AVERAGE(_xlfn._xlws.FILTER('Autonomie 2023 LDV'!$AH:$AH, ('Autonomie 2023 LDV'!$A:$A=$AA38)*('Autonomie 2023 LDV'!$B:$B=AB$3)*('Autonomie 2023 LDV'!$D:$D="Small SUV")))</f>
        <v>27451.094251678471</v>
      </c>
      <c r="AC38" s="195" cm="1">
        <f t="array" ref="AC38">AVERAGE(_xlfn._xlws.FILTER('Autonomie 2023 LDV'!$AH:$AH, ('Autonomie 2023 LDV'!$A:$A=$AA38)*('Autonomie 2023 LDV'!$B:$B=AC$3)*('Autonomie 2023 LDV'!$D:$D="Small SUV")))</f>
        <v>25378.169472129586</v>
      </c>
      <c r="AD38" s="195" cm="1">
        <f t="array" ref="AD38">AVERAGE(_xlfn._xlws.FILTER('Autonomie 2023 LDV'!$AH:$AH, ('Autonomie 2023 LDV'!$A:$A=$AA38)*('Autonomie 2023 LDV'!$B:$B=AD$3)*('Autonomie 2023 LDV'!$D:$D="Small SUV")))</f>
        <v>23874.21422204348</v>
      </c>
      <c r="AE38" s="195" cm="1">
        <f t="array" ref="AE38">AVERAGE(_xlfn._xlws.FILTER('Autonomie 2023 LDV'!$AH:$AH, ('Autonomie 2023 LDV'!$A:$A=$AA38)*('Autonomie 2023 LDV'!$B:$B=AE$3)*('Autonomie 2023 LDV'!$D:$D="Small SUV")))</f>
        <v>22476.196210467067</v>
      </c>
      <c r="AF38" s="195">
        <f t="shared" si="47"/>
        <v>21795.796852516156</v>
      </c>
      <c r="AG38" s="195">
        <f t="shared" si="48"/>
        <v>21115.397494565244</v>
      </c>
      <c r="AH38" s="195" cm="1">
        <f t="array" ref="AH38">AVERAGE(_xlfn._xlws.FILTER('Autonomie 2023 LDV'!$AH:$AH, ('Autonomie 2023 LDV'!$A:$A=$AA38)*('Autonomie 2023 LDV'!$B:$B=AH$3)*('Autonomie 2023 LDV'!$D:$D="Small SUV")))</f>
        <v>20434.998136614337</v>
      </c>
      <c r="AI38" s="85">
        <f t="shared" si="49"/>
        <v>-0.25558529837604349</v>
      </c>
      <c r="AK38" s="381" t="s">
        <v>247</v>
      </c>
      <c r="AL38" s="406">
        <f t="shared" si="55"/>
        <v>104390.00386964952</v>
      </c>
      <c r="AM38" s="406">
        <f t="shared" si="54"/>
        <v>88297.038057727259</v>
      </c>
      <c r="AN38" s="406">
        <f t="shared" si="54"/>
        <v>72012.105750159943</v>
      </c>
      <c r="AO38" s="406">
        <f t="shared" si="54"/>
        <v>62970.842188327326</v>
      </c>
      <c r="AP38" s="406">
        <f t="shared" si="54"/>
        <v>59092.930908314433</v>
      </c>
      <c r="AQ38" s="406">
        <f t="shared" si="54"/>
        <v>55215.019628301547</v>
      </c>
      <c r="AR38" s="406">
        <f t="shared" si="54"/>
        <v>51337.108348288653</v>
      </c>
      <c r="AS38" s="114">
        <f t="shared" si="51"/>
        <v>-0.50821815839385687</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8">
        <v>2050</v>
      </c>
    </row>
    <row r="39" spans="1:61" ht="15.75" thickTop="1" x14ac:dyDescent="0.25">
      <c r="A39" t="s">
        <v>1024</v>
      </c>
      <c r="B39" t="s">
        <v>95</v>
      </c>
      <c r="C39" t="s">
        <v>4050</v>
      </c>
      <c r="D39">
        <v>2023</v>
      </c>
      <c r="E39">
        <v>2023</v>
      </c>
      <c r="F39" t="s">
        <v>1781</v>
      </c>
      <c r="G39">
        <f t="shared" ref="G39:G51" si="56">USD2023_to_CAD2020</f>
        <v>1.1463657166123775</v>
      </c>
      <c r="H39">
        <v>2020</v>
      </c>
      <c r="I39" t="s">
        <v>1783</v>
      </c>
      <c r="J39" t="s">
        <v>1084</v>
      </c>
      <c r="K39" s="277">
        <f t="shared" ref="K39" si="57">AL34*1000/1000000</f>
        <v>55.121422300834745</v>
      </c>
      <c r="L39" s="73">
        <f t="shared" ref="L39" si="58">AM34*1000/1000000</f>
        <v>55.451835889878836</v>
      </c>
      <c r="M39" s="73">
        <f t="shared" ref="M39" si="59">AN34*1000/1000000</f>
        <v>55.689484092191783</v>
      </c>
      <c r="N39" s="73">
        <f t="shared" ref="N39" si="60">AO34*1000/1000000</f>
        <v>55.401098698053019</v>
      </c>
      <c r="O39" s="73">
        <f t="shared" ref="O39" si="61">AP34*1000/1000000</f>
        <v>55.413930831033682</v>
      </c>
      <c r="P39" s="73">
        <f t="shared" ref="P39" si="62">AQ34*1000/1000000</f>
        <v>55.426762964014372</v>
      </c>
      <c r="Q39" s="73">
        <f t="shared" ref="Q39" si="63">AR34*1000/1000000</f>
        <v>55.439595096995042</v>
      </c>
      <c r="R39" s="72" t="s">
        <v>4064</v>
      </c>
      <c r="S39" s="717">
        <v>3</v>
      </c>
      <c r="T39" s="377">
        <v>1</v>
      </c>
      <c r="U39" s="377">
        <v>1</v>
      </c>
      <c r="V39" s="377">
        <v>3</v>
      </c>
      <c r="W39" s="377">
        <v>1</v>
      </c>
      <c r="X39" s="1044"/>
      <c r="Z39" s="1044"/>
      <c r="AA39" s="17" t="s">
        <v>884</v>
      </c>
      <c r="AB39" s="195" cm="1">
        <f t="array" ref="AB39">AVERAGE(_xlfn._xlws.FILTER('Autonomie 2023 LDV'!$AH:$AH, ('Autonomie 2023 LDV'!$A:$A=$AA39)*('Autonomie 2023 LDV'!$B:$B=AB$3)*('Autonomie 2023 LDV'!$D:$D="Small SUV")))</f>
        <v>32708.30598643847</v>
      </c>
      <c r="AC39" s="195" cm="1">
        <f t="array" ref="AC39">AVERAGE(_xlfn._xlws.FILTER('Autonomie 2023 LDV'!$AH:$AH, ('Autonomie 2023 LDV'!$A:$A=$AA39)*('Autonomie 2023 LDV'!$B:$B=AC$3)*('Autonomie 2023 LDV'!$D:$D="Small SUV")))</f>
        <v>29659.578052306977</v>
      </c>
      <c r="AD39" s="195" cm="1">
        <f t="array" ref="AD39">AVERAGE(_xlfn._xlws.FILTER('Autonomie 2023 LDV'!$AH:$AH, ('Autonomie 2023 LDV'!$A:$A=$AA39)*('Autonomie 2023 LDV'!$B:$B=AD$3)*('Autonomie 2023 LDV'!$D:$D="Small SUV")))</f>
        <v>27473.474676761874</v>
      </c>
      <c r="AE39" s="195" cm="1">
        <f t="array" ref="AE39">AVERAGE(_xlfn._xlws.FILTER('Autonomie 2023 LDV'!$AH:$AH, ('Autonomie 2023 LDV'!$A:$A=$AA39)*('Autonomie 2023 LDV'!$B:$B=AE$3)*('Autonomie 2023 LDV'!$D:$D="Small SUV")))</f>
        <v>25371.667515226272</v>
      </c>
      <c r="AF39" s="195">
        <f t="shared" si="47"/>
        <v>24522.298537448292</v>
      </c>
      <c r="AG39" s="195">
        <f t="shared" si="48"/>
        <v>23672.929559670312</v>
      </c>
      <c r="AH39" s="195" cm="1">
        <f t="array" ref="AH39">AVERAGE(_xlfn._xlws.FILTER('Autonomie 2023 LDV'!$AH:$AH, ('Autonomie 2023 LDV'!$A:$A=$AA39)*('Autonomie 2023 LDV'!$B:$B=AH$3)*('Autonomie 2023 LDV'!$D:$D="Small SUV")))</f>
        <v>22823.560581892336</v>
      </c>
      <c r="AI39" s="85">
        <f t="shared" si="49"/>
        <v>-0.30220902937145538</v>
      </c>
      <c r="AK39" s="381" t="s">
        <v>567</v>
      </c>
      <c r="AL39" s="406">
        <f t="shared" si="55"/>
        <v>80430.443357663928</v>
      </c>
      <c r="AM39" s="406">
        <f t="shared" si="54"/>
        <v>69661.287180127998</v>
      </c>
      <c r="AN39" s="406">
        <f t="shared" si="54"/>
        <v>64380.029548360915</v>
      </c>
      <c r="AO39" s="406">
        <f t="shared" si="54"/>
        <v>60100.707987759582</v>
      </c>
      <c r="AP39" s="406">
        <f t="shared" si="54"/>
        <v>58459.565516397415</v>
      </c>
      <c r="AQ39" s="406">
        <f t="shared" si="54"/>
        <v>56818.423045035248</v>
      </c>
      <c r="AR39" s="406">
        <f t="shared" si="54"/>
        <v>55177.280573673073</v>
      </c>
      <c r="AS39" s="114">
        <f t="shared" si="51"/>
        <v>-0.31397517817592102</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8">
        <f>BE33*USD2005_to_CAD2020/1.5</f>
        <v>9466.266119138154</v>
      </c>
      <c r="BD39" s="408">
        <f>($BF39-$BC39)/3 + BC39</f>
        <v>9466.266119138154</v>
      </c>
      <c r="BE39" s="408">
        <f>($BF39-$BC39)/3 + BD39</f>
        <v>9466.266119138154</v>
      </c>
      <c r="BF39" s="408">
        <f>BF33*USD2005_to_CAD2020/1.5</f>
        <v>9466.266119138154</v>
      </c>
      <c r="BG39" s="408">
        <f>($BF39-$BI39)/3 + BF39</f>
        <v>9466.266119138154</v>
      </c>
      <c r="BH39" s="408">
        <f>($BF39-$BI39)/3 + BG39</f>
        <v>9466.266119138154</v>
      </c>
      <c r="BI39" s="409">
        <f>BG33*USD2005_to_CAD2020/1.5</f>
        <v>9466.266119138154</v>
      </c>
    </row>
    <row r="40" spans="1:61" x14ac:dyDescent="0.25">
      <c r="A40" t="s">
        <v>1041</v>
      </c>
      <c r="B40" t="s">
        <v>95</v>
      </c>
      <c r="C40" t="s">
        <v>4050</v>
      </c>
      <c r="D40">
        <v>2023</v>
      </c>
      <c r="E40">
        <v>2023</v>
      </c>
      <c r="F40" t="s">
        <v>1781</v>
      </c>
      <c r="G40">
        <f t="shared" si="56"/>
        <v>1.1463657166123775</v>
      </c>
      <c r="H40">
        <v>2020</v>
      </c>
      <c r="I40" t="s">
        <v>1783</v>
      </c>
      <c r="J40" t="s">
        <v>1084</v>
      </c>
      <c r="K40" s="277">
        <f t="shared" ref="K40:Q45" si="64">AL35*1000/1000000</f>
        <v>54.210860346525315</v>
      </c>
      <c r="L40" s="73">
        <f t="shared" si="64"/>
        <v>54.66878216436514</v>
      </c>
      <c r="M40" s="73">
        <f t="shared" si="64"/>
        <v>55.062525496488263</v>
      </c>
      <c r="N40" s="73">
        <f t="shared" si="64"/>
        <v>55.321392263576215</v>
      </c>
      <c r="O40" s="73">
        <f t="shared" si="64"/>
        <v>55.456613071045297</v>
      </c>
      <c r="P40" s="73">
        <f t="shared" si="64"/>
        <v>55.591833878514386</v>
      </c>
      <c r="Q40" s="73">
        <f t="shared" si="64"/>
        <v>55.727054685983468</v>
      </c>
      <c r="R40" s="72" t="s">
        <v>4064</v>
      </c>
      <c r="S40" s="717">
        <v>3</v>
      </c>
      <c r="T40" s="377">
        <v>1</v>
      </c>
      <c r="U40" s="377">
        <v>1</v>
      </c>
      <c r="V40" s="377">
        <v>3</v>
      </c>
      <c r="W40" s="377">
        <v>1</v>
      </c>
      <c r="X40" s="1044"/>
      <c r="Z40" s="1044"/>
      <c r="AA40" s="17" t="s">
        <v>885</v>
      </c>
      <c r="AB40" s="195" cm="1">
        <f t="array" ref="AB40">AVERAGE(_xlfn._xlws.FILTER('Autonomie 2023 LDV'!$AH:$AH, ('Autonomie 2023 LDV'!$A:$A=$AA40)*('Autonomie 2023 LDV'!$B:$B=AB$3)*('Autonomie 2023 LDV'!$D:$D="Small SUV")))</f>
        <v>40032.653038747805</v>
      </c>
      <c r="AC40" s="195" cm="1">
        <f t="array" ref="AC40">AVERAGE(_xlfn._xlws.FILTER('Autonomie 2023 LDV'!$AH:$AH, ('Autonomie 2023 LDV'!$A:$A=$AA40)*('Autonomie 2023 LDV'!$B:$B=AC$3)*('Autonomie 2023 LDV'!$D:$D="Small SUV")))</f>
        <v>36566.261268208298</v>
      </c>
      <c r="AD40" s="195" cm="1">
        <f t="array" ref="AD40">AVERAGE(_xlfn._xlws.FILTER('Autonomie 2023 LDV'!$AH:$AH, ('Autonomie 2023 LDV'!$A:$A=$AA40)*('Autonomie 2023 LDV'!$B:$B=AD$3)*('Autonomie 2023 LDV'!$D:$D="Small SUV")))</f>
        <v>33065.369793707781</v>
      </c>
      <c r="AE40" s="195" cm="1">
        <f t="array" ref="AE40">AVERAGE(_xlfn._xlws.FILTER('Autonomie 2023 LDV'!$AH:$AH, ('Autonomie 2023 LDV'!$A:$A=$AA40)*('Autonomie 2023 LDV'!$B:$B=AE$3)*('Autonomie 2023 LDV'!$D:$D="Small SUV")))</f>
        <v>30089.790647047295</v>
      </c>
      <c r="AF40" s="195">
        <f t="shared" si="47"/>
        <v>28750.275302201022</v>
      </c>
      <c r="AG40" s="195">
        <f t="shared" si="48"/>
        <v>27410.759957354749</v>
      </c>
      <c r="AH40" s="195" cm="1">
        <f t="array" ref="AH40">AVERAGE(_xlfn._xlws.FILTER('Autonomie 2023 LDV'!$AH:$AH, ('Autonomie 2023 LDV'!$A:$A=$AA40)*('Autonomie 2023 LDV'!$B:$B=AH$3)*('Autonomie 2023 LDV'!$D:$D="Small SUV")))</f>
        <v>26071.244612508472</v>
      </c>
      <c r="AI40" s="85">
        <f t="shared" si="49"/>
        <v>-0.34875051655272549</v>
      </c>
      <c r="AK40" s="381" t="s">
        <v>929</v>
      </c>
      <c r="AL40" s="406">
        <f t="shared" si="55"/>
        <v>76085.818747787387</v>
      </c>
      <c r="AM40" s="406">
        <f t="shared" si="54"/>
        <v>66121.271501998781</v>
      </c>
      <c r="AN40" s="406">
        <f t="shared" si="54"/>
        <v>60360.849810653861</v>
      </c>
      <c r="AO40" s="406">
        <f t="shared" si="54"/>
        <v>55760.60708701214</v>
      </c>
      <c r="AP40" s="406">
        <f t="shared" si="54"/>
        <v>53902.159903351196</v>
      </c>
      <c r="AQ40" s="406">
        <f t="shared" si="54"/>
        <v>52043.712719690244</v>
      </c>
      <c r="AR40" s="406">
        <f>SUM(AH78*$AC$144, AH86*$AC$145, AH94*$AC$146, AH102*$AC$147, AH110*$AC$148, AH117*$AC$149)</f>
        <v>50185.265536029285</v>
      </c>
      <c r="AS40" s="114">
        <f t="shared" si="51"/>
        <v>-0.34041236117356366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8">
        <f>BE34*USD2005_to_CAD2020/1.5</f>
        <v>8545.5062999805868</v>
      </c>
      <c r="BD40" s="408">
        <f>($BF40-$BC40)/3 + BC40</f>
        <v>8450.3306822273007</v>
      </c>
      <c r="BE40" s="408">
        <f>($BF40-$BC40)/3 + BD40</f>
        <v>8355.1550644740146</v>
      </c>
      <c r="BF40" s="408">
        <f>BF34*USD2005_to_CAD2020/1.5</f>
        <v>8259.9794467207303</v>
      </c>
      <c r="BG40" s="408">
        <f>($BF40-$BI40)/3 + BF40</f>
        <v>8259.9794467207303</v>
      </c>
      <c r="BH40" s="408">
        <f>($BF40-$BI40)/3 + BG40</f>
        <v>8259.9794467207303</v>
      </c>
      <c r="BI40" s="409">
        <f>BG34*USD2005_to_CAD2020/1.5</f>
        <v>8259.9794467207303</v>
      </c>
    </row>
    <row r="41" spans="1:61" ht="15.75" thickBot="1" x14ac:dyDescent="0.3">
      <c r="A41" t="s">
        <v>1043</v>
      </c>
      <c r="B41" t="s">
        <v>95</v>
      </c>
      <c r="C41" t="s">
        <v>4050</v>
      </c>
      <c r="D41">
        <v>2023</v>
      </c>
      <c r="E41">
        <v>2023</v>
      </c>
      <c r="F41" t="s">
        <v>1781</v>
      </c>
      <c r="G41">
        <f t="shared" si="56"/>
        <v>1.1463657166123775</v>
      </c>
      <c r="H41">
        <v>2020</v>
      </c>
      <c r="I41" t="s">
        <v>1783</v>
      </c>
      <c r="J41" t="s">
        <v>1084</v>
      </c>
      <c r="K41" s="277">
        <f t="shared" si="64"/>
        <v>62.007343707239414</v>
      </c>
      <c r="L41" s="73">
        <f t="shared" si="64"/>
        <v>61.337557323486152</v>
      </c>
      <c r="M41" s="73">
        <f t="shared" si="64"/>
        <v>60.741506516622024</v>
      </c>
      <c r="N41" s="73">
        <f t="shared" si="64"/>
        <v>60.269081868218485</v>
      </c>
      <c r="O41" s="73">
        <f t="shared" si="64"/>
        <v>60.186007170772932</v>
      </c>
      <c r="P41" s="73">
        <f t="shared" si="64"/>
        <v>60.102932473327371</v>
      </c>
      <c r="Q41" s="73">
        <f t="shared" si="64"/>
        <v>60.019857775881796</v>
      </c>
      <c r="R41" s="72" t="s">
        <v>4064</v>
      </c>
      <c r="S41" s="717">
        <v>3</v>
      </c>
      <c r="T41" s="377">
        <v>1</v>
      </c>
      <c r="U41" s="377">
        <v>1</v>
      </c>
      <c r="V41" s="377">
        <v>3</v>
      </c>
      <c r="W41" s="377">
        <v>1</v>
      </c>
      <c r="X41" s="1044"/>
      <c r="Z41" s="1044"/>
      <c r="AA41" s="17" t="s">
        <v>567</v>
      </c>
      <c r="AB41" s="195" cm="1">
        <f t="array" ref="AB41">AVERAGE(_xlfn._xlws.FILTER('Autonomie 2023 LDV'!$AH:$AH, ('Autonomie 2023 LDV'!$A:$A=$AA41)*('Autonomie 2023 LDV'!$B:$B=AB$3)*('Autonomie 2023 LDV'!$D:$D="Small SUV")))</f>
        <v>40209.478036094311</v>
      </c>
      <c r="AC41" s="195" cm="1">
        <f t="array" ref="AC41">AVERAGE(_xlfn._xlws.FILTER('Autonomie 2023 LDV'!$AH:$AH, ('Autonomie 2023 LDV'!$A:$A=$AA41)*('Autonomie 2023 LDV'!$B:$B=AC$3)*('Autonomie 2023 LDV'!$D:$D="Small SUV")))</f>
        <v>37604.203363284942</v>
      </c>
      <c r="AD41" s="195" cm="1">
        <f t="array" ref="AD41">AVERAGE(_xlfn._xlws.FILTER('Autonomie 2023 LDV'!$AH:$AH, ('Autonomie 2023 LDV'!$A:$A=$AA41)*('Autonomie 2023 LDV'!$B:$B=AD$3)*('Autonomie 2023 LDV'!$D:$D="Small SUV")))</f>
        <v>31104.642801546313</v>
      </c>
      <c r="AE41" s="195" cm="1">
        <f t="array" ref="AE41">AVERAGE(_xlfn._xlws.FILTER('Autonomie 2023 LDV'!$AH:$AH, ('Autonomie 2023 LDV'!$A:$A=$AA41)*('Autonomie 2023 LDV'!$B:$B=AE$3)*('Autonomie 2023 LDV'!$D:$D="Small SUV")))</f>
        <v>29685.494243488978</v>
      </c>
      <c r="AF41" s="195">
        <f t="shared" si="47"/>
        <v>28453.7709988684</v>
      </c>
      <c r="AG41" s="195">
        <f t="shared" si="48"/>
        <v>27222.047754247822</v>
      </c>
      <c r="AH41" s="195" cm="1">
        <f t="array" ref="AH41">AVERAGE(_xlfn._xlws.FILTER('Autonomie 2023 LDV'!$AH:$AH, ('Autonomie 2023 LDV'!$A:$A=$AA41)*('Autonomie 2023 LDV'!$B:$B=AH$3)*('Autonomie 2023 LDV'!$D:$D="Small SUV")))</f>
        <v>25990.324509627244</v>
      </c>
      <c r="AI41" s="85">
        <f t="shared" si="49"/>
        <v>-0.35362691138898017</v>
      </c>
      <c r="AK41" s="379" t="s">
        <v>1080</v>
      </c>
      <c r="AS41" s="114"/>
      <c r="AT41" s="63"/>
      <c r="AV41" s="4" t="s">
        <v>1050</v>
      </c>
      <c r="AZ41" s="85"/>
      <c r="BB41" s="392" t="s">
        <v>1701</v>
      </c>
      <c r="BC41" s="68"/>
      <c r="BD41" s="68"/>
      <c r="BE41" s="68"/>
      <c r="BF41" s="68"/>
      <c r="BG41" s="68"/>
      <c r="BH41" s="68"/>
      <c r="BI41" s="296"/>
    </row>
    <row r="42" spans="1:61" x14ac:dyDescent="0.25">
      <c r="A42" t="s">
        <v>1044</v>
      </c>
      <c r="B42" t="s">
        <v>95</v>
      </c>
      <c r="C42" t="s">
        <v>4050</v>
      </c>
      <c r="D42">
        <v>2023</v>
      </c>
      <c r="E42">
        <v>2023</v>
      </c>
      <c r="F42" t="s">
        <v>1781</v>
      </c>
      <c r="G42">
        <f t="shared" si="56"/>
        <v>1.1463657166123775</v>
      </c>
      <c r="H42">
        <v>2020</v>
      </c>
      <c r="I42" t="s">
        <v>1783</v>
      </c>
      <c r="J42" t="s">
        <v>1084</v>
      </c>
      <c r="K42" s="277">
        <f t="shared" si="64"/>
        <v>108.88364677882159</v>
      </c>
      <c r="L42" s="73">
        <f t="shared" si="64"/>
        <v>95.707305359954262</v>
      </c>
      <c r="M42" s="73">
        <f t="shared" si="64"/>
        <v>81.82228322923946</v>
      </c>
      <c r="N42" s="73">
        <f t="shared" si="64"/>
        <v>73.248413151873464</v>
      </c>
      <c r="O42" s="73">
        <f t="shared" si="64"/>
        <v>69.787680186165147</v>
      </c>
      <c r="P42" s="73">
        <f t="shared" si="64"/>
        <v>66.326947220456844</v>
      </c>
      <c r="Q42" s="73">
        <f t="shared" si="64"/>
        <v>62.866214254748542</v>
      </c>
      <c r="R42" s="72" t="s">
        <v>4064</v>
      </c>
      <c r="S42" s="717">
        <v>3</v>
      </c>
      <c r="T42" s="377">
        <v>1</v>
      </c>
      <c r="U42" s="377">
        <v>1</v>
      </c>
      <c r="V42" s="377">
        <v>3</v>
      </c>
      <c r="W42" s="377">
        <v>1</v>
      </c>
      <c r="X42" s="1044"/>
      <c r="Z42" s="1044"/>
      <c r="AA42" s="17"/>
      <c r="AB42" s="195"/>
      <c r="AC42" s="195"/>
      <c r="AD42" s="195"/>
      <c r="AE42" s="195"/>
      <c r="AF42" s="195"/>
      <c r="AG42" s="195"/>
      <c r="AH42" s="195"/>
      <c r="AI42" s="85"/>
      <c r="AK42" s="381" t="s">
        <v>905</v>
      </c>
      <c r="AL42" s="406">
        <f>SUM(AB119*$AB$154+AB126*$AB$155)</f>
        <v>150246.27627214757</v>
      </c>
      <c r="AM42" s="406">
        <f t="shared" ref="AM42:AR47" si="65">SUM(AC119*$AB$154+AC126*$AB$155)</f>
        <v>150782.58797038754</v>
      </c>
      <c r="AN42" s="406">
        <f t="shared" si="65"/>
        <v>151846.42801677078</v>
      </c>
      <c r="AO42" s="406">
        <f t="shared" si="65"/>
        <v>152439.21790601243</v>
      </c>
      <c r="AP42" s="406">
        <f t="shared" si="65"/>
        <v>153335.25930908948</v>
      </c>
      <c r="AQ42" s="406">
        <f t="shared" si="65"/>
        <v>154231.30071216659</v>
      </c>
      <c r="AR42" s="406">
        <f t="shared" si="65"/>
        <v>155127.34211524366</v>
      </c>
      <c r="AS42" s="114">
        <f t="shared" ref="AS42:AS47" si="66">(AR42-AL42)/AL42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67">(AY42-AW42)/AW42</f>
        <v>-4.5751633986928046E-2</v>
      </c>
    </row>
    <row r="43" spans="1:61" x14ac:dyDescent="0.25">
      <c r="A43" t="s">
        <v>1071</v>
      </c>
      <c r="B43" t="s">
        <v>95</v>
      </c>
      <c r="C43" t="s">
        <v>4050</v>
      </c>
      <c r="D43">
        <v>2023</v>
      </c>
      <c r="E43">
        <v>2023</v>
      </c>
      <c r="F43" t="s">
        <v>1781</v>
      </c>
      <c r="G43">
        <f t="shared" si="56"/>
        <v>1.1463657166123775</v>
      </c>
      <c r="H43">
        <v>2020</v>
      </c>
      <c r="I43" t="s">
        <v>1783</v>
      </c>
      <c r="J43" t="s">
        <v>1084</v>
      </c>
      <c r="K43" s="277">
        <f t="shared" si="64"/>
        <v>104.39000386964952</v>
      </c>
      <c r="L43" s="73">
        <f t="shared" si="64"/>
        <v>88.297038057727264</v>
      </c>
      <c r="M43" s="73">
        <f t="shared" si="64"/>
        <v>72.012105750159947</v>
      </c>
      <c r="N43" s="73">
        <f t="shared" si="64"/>
        <v>62.970842188327325</v>
      </c>
      <c r="O43" s="73">
        <f t="shared" si="64"/>
        <v>59.092930908314429</v>
      </c>
      <c r="P43" s="73">
        <f t="shared" si="64"/>
        <v>55.215019628301548</v>
      </c>
      <c r="Q43" s="73">
        <f t="shared" si="64"/>
        <v>51.337108348288652</v>
      </c>
      <c r="R43" s="72" t="s">
        <v>4064</v>
      </c>
      <c r="S43" s="717">
        <v>3</v>
      </c>
      <c r="T43" s="377">
        <v>1</v>
      </c>
      <c r="U43" s="377">
        <v>1</v>
      </c>
      <c r="V43" s="377">
        <v>3</v>
      </c>
      <c r="W43" s="377">
        <v>1</v>
      </c>
      <c r="X43" s="1044"/>
      <c r="Z43" s="1044"/>
      <c r="AA43" s="28" t="s">
        <v>3032</v>
      </c>
      <c r="AI43" s="85"/>
      <c r="AK43" s="381" t="s">
        <v>907</v>
      </c>
      <c r="AL43" s="406">
        <f t="shared" ref="AL43:AL47" si="68">SUM(AB120*$AB$154+AB127*$AB$155)</f>
        <v>167224.08809733047</v>
      </c>
      <c r="AM43" s="406">
        <f t="shared" si="65"/>
        <v>165077.09380220351</v>
      </c>
      <c r="AN43" s="406">
        <f t="shared" si="65"/>
        <v>164473.13866499456</v>
      </c>
      <c r="AO43" s="406">
        <f t="shared" si="65"/>
        <v>163713.04834341627</v>
      </c>
      <c r="AP43" s="406">
        <f t="shared" si="65"/>
        <v>164395.96629278941</v>
      </c>
      <c r="AQ43" s="406">
        <f t="shared" si="65"/>
        <v>165078.88424216252</v>
      </c>
      <c r="AR43" s="406">
        <f t="shared" si="65"/>
        <v>165761.80219153559</v>
      </c>
      <c r="AS43" s="114">
        <f t="shared" si="66"/>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67"/>
        <v>-0.54278074866310155</v>
      </c>
    </row>
    <row r="44" spans="1:61" x14ac:dyDescent="0.25">
      <c r="A44" t="s">
        <v>1072</v>
      </c>
      <c r="B44" t="s">
        <v>95</v>
      </c>
      <c r="C44" t="s">
        <v>4050</v>
      </c>
      <c r="D44">
        <v>2023</v>
      </c>
      <c r="E44">
        <v>2023</v>
      </c>
      <c r="F44" t="s">
        <v>1781</v>
      </c>
      <c r="G44">
        <f t="shared" si="56"/>
        <v>1.1463657166123775</v>
      </c>
      <c r="H44">
        <v>2020</v>
      </c>
      <c r="I44" t="s">
        <v>1783</v>
      </c>
      <c r="J44" t="s">
        <v>1084</v>
      </c>
      <c r="K44" s="277">
        <f t="shared" si="64"/>
        <v>80.430443357663933</v>
      </c>
      <c r="L44" s="73">
        <f t="shared" si="64"/>
        <v>69.661287180127999</v>
      </c>
      <c r="M44" s="73">
        <f t="shared" si="64"/>
        <v>64.380029548360909</v>
      </c>
      <c r="N44" s="73">
        <f t="shared" si="64"/>
        <v>60.100707987759584</v>
      </c>
      <c r="O44" s="73">
        <f t="shared" si="64"/>
        <v>58.459565516397419</v>
      </c>
      <c r="P44" s="73">
        <f t="shared" si="64"/>
        <v>56.818423045035253</v>
      </c>
      <c r="Q44" s="73">
        <f t="shared" si="64"/>
        <v>55.17728057367308</v>
      </c>
      <c r="R44" s="72" t="s">
        <v>4064</v>
      </c>
      <c r="S44" s="717">
        <v>3</v>
      </c>
      <c r="T44" s="377">
        <v>1</v>
      </c>
      <c r="U44" s="377">
        <v>1</v>
      </c>
      <c r="V44" s="377">
        <v>3</v>
      </c>
      <c r="W44" s="377">
        <v>1</v>
      </c>
      <c r="X44" s="1044"/>
      <c r="Z44" s="1044"/>
      <c r="AA44" s="17" t="s">
        <v>890</v>
      </c>
      <c r="AB44" s="195" cm="1">
        <f t="array" ref="AB44">AVERAGE(_xlfn._xlws.FILTER('Autonomie 2023 LDV'!$AH:$AH, ('Autonomie 2023 LDV'!$A:$A=$AA44)*('Autonomie 2023 LDV'!$B:$B=AB$3)*('Autonomie 2023 LDV'!$D:$D="Midsize SUV")))</f>
        <v>25169.175667397223</v>
      </c>
      <c r="AC44" s="195" cm="1">
        <f t="array" ref="AC44">AVERAGE(_xlfn._xlws.FILTER('Autonomie 2023 LDV'!$AH:$AH, ('Autonomie 2023 LDV'!$A:$A=$AA44)*('Autonomie 2023 LDV'!$B:$B=AC$3)*('Autonomie 2023 LDV'!$D:$D="Midsize SUV")))</f>
        <v>25158.554979461471</v>
      </c>
      <c r="AD44" s="195" cm="1">
        <f t="array" ref="AD44">AVERAGE(_xlfn._xlws.FILTER('Autonomie 2023 LDV'!$AH:$AH, ('Autonomie 2023 LDV'!$A:$A=$AA44)*('Autonomie 2023 LDV'!$B:$B=AD$3)*('Autonomie 2023 LDV'!$D:$D="Midsize SUV")))</f>
        <v>25740.353622181665</v>
      </c>
      <c r="AE44" s="195" cm="1">
        <f t="array" ref="AE44">AVERAGE(_xlfn._xlws.FILTER('Autonomie 2023 LDV'!$AH:$AH, ('Autonomie 2023 LDV'!$A:$A=$AA44)*('Autonomie 2023 LDV'!$B:$B=AE$3)*('Autonomie 2023 LDV'!$D:$D="Midsize SUV")))</f>
        <v>26978.598157574339</v>
      </c>
      <c r="AF44" s="195">
        <f>($AH44-$AE44)/3 + AE44</f>
        <v>26941.749788830602</v>
      </c>
      <c r="AG44" s="195">
        <f t="shared" ref="AG44" si="69">($AH44-$AE44)/3 + AF44</f>
        <v>26904.901420086866</v>
      </c>
      <c r="AH44" s="195" cm="1">
        <f t="array" ref="AH44">AVERAGE(_xlfn._xlws.FILTER('Autonomie 2023 LDV'!$AH:$AH, ('Autonomie 2023 LDV'!$A:$A=$AA44)*('Autonomie 2023 LDV'!$B:$B=AH$3)*('Autonomie 2023 LDV'!$D:$D="Midsize SUV")))</f>
        <v>26868.053051343133</v>
      </c>
      <c r="AI44" s="85">
        <f t="shared" ref="AI44:AI54" si="70">(AH44-AB44)/AB44</f>
        <v>6.749833234095716E-2</v>
      </c>
      <c r="AK44" s="381" t="s">
        <v>908</v>
      </c>
      <c r="AL44" s="406">
        <f t="shared" si="68"/>
        <v>554821.43512629077</v>
      </c>
      <c r="AM44" s="406">
        <f t="shared" si="65"/>
        <v>448493.12670760433</v>
      </c>
      <c r="AN44" s="406">
        <f t="shared" si="65"/>
        <v>343108.38043889531</v>
      </c>
      <c r="AO44" s="406">
        <f t="shared" si="65"/>
        <v>283839.86692235229</v>
      </c>
      <c r="AP44" s="406">
        <f t="shared" si="65"/>
        <v>259003.27830938564</v>
      </c>
      <c r="AQ44" s="406">
        <f t="shared" si="65"/>
        <v>234166.68969641894</v>
      </c>
      <c r="AR44" s="406">
        <f t="shared" si="65"/>
        <v>209330.10108345223</v>
      </c>
      <c r="AS44" s="114">
        <f t="shared" si="66"/>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67"/>
        <v>-0.45744680851063829</v>
      </c>
    </row>
    <row r="45" spans="1:61" x14ac:dyDescent="0.25">
      <c r="A45" t="s">
        <v>1073</v>
      </c>
      <c r="B45" t="s">
        <v>95</v>
      </c>
      <c r="C45" t="s">
        <v>4050</v>
      </c>
      <c r="D45">
        <v>2023</v>
      </c>
      <c r="E45">
        <v>2023</v>
      </c>
      <c r="F45" t="s">
        <v>1781</v>
      </c>
      <c r="G45">
        <f t="shared" si="56"/>
        <v>1.1463657166123775</v>
      </c>
      <c r="H45">
        <v>2020</v>
      </c>
      <c r="I45" t="s">
        <v>1783</v>
      </c>
      <c r="J45" t="s">
        <v>1084</v>
      </c>
      <c r="K45" s="277">
        <f t="shared" si="64"/>
        <v>76.085818747787386</v>
      </c>
      <c r="L45" s="73">
        <f t="shared" si="64"/>
        <v>66.121271501998777</v>
      </c>
      <c r="M45" s="73">
        <f t="shared" si="64"/>
        <v>60.36084981065386</v>
      </c>
      <c r="N45" s="73">
        <f t="shared" si="64"/>
        <v>55.76060708701214</v>
      </c>
      <c r="O45" s="73">
        <f t="shared" si="64"/>
        <v>53.902159903351198</v>
      </c>
      <c r="P45" s="73">
        <f t="shared" si="64"/>
        <v>52.043712719690241</v>
      </c>
      <c r="Q45" s="73">
        <f t="shared" si="64"/>
        <v>50.185265536029284</v>
      </c>
      <c r="R45" s="72" t="s">
        <v>4064</v>
      </c>
      <c r="S45" s="717">
        <v>3</v>
      </c>
      <c r="T45" s="377">
        <v>1</v>
      </c>
      <c r="U45" s="377">
        <v>1</v>
      </c>
      <c r="V45" s="377">
        <v>3</v>
      </c>
      <c r="W45" s="377">
        <v>1</v>
      </c>
      <c r="X45" s="1044"/>
      <c r="Z45" s="1044"/>
      <c r="AA45" s="17" t="s">
        <v>887</v>
      </c>
      <c r="AB45" s="195" cm="1">
        <f t="array" ref="AB45">AVERAGE(_xlfn._xlws.FILTER('Autonomie 2023 LDV'!$AH:$AH, ('Autonomie 2023 LDV'!$A:$A=$AA45)*('Autonomie 2023 LDV'!$B:$B=AB$3)*('Autonomie 2023 LDV'!$D:$D="Midsize SUV")))</f>
        <v>28634.378132018672</v>
      </c>
      <c r="AC45" s="195" cm="1">
        <f t="array" ref="AC45">AVERAGE(_xlfn._xlws.FILTER('Autonomie 2023 LDV'!$AH:$AH, ('Autonomie 2023 LDV'!$A:$A=$AA45)*('Autonomie 2023 LDV'!$B:$B=AC$3)*('Autonomie 2023 LDV'!$D:$D="Midsize SUV")))</f>
        <v>28573.291171473207</v>
      </c>
      <c r="AD45" s="195" cm="1">
        <f t="array" ref="AD45">AVERAGE(_xlfn._xlws.FILTER('Autonomie 2023 LDV'!$AH:$AH, ('Autonomie 2023 LDV'!$A:$A=$AA45)*('Autonomie 2023 LDV'!$B:$B=AD$3)*('Autonomie 2023 LDV'!$D:$D="Midsize SUV")))</f>
        <v>28631.35815900518</v>
      </c>
      <c r="AE45" s="195" cm="1">
        <f t="array" ref="AE45">AVERAGE(_xlfn._xlws.FILTER('Autonomie 2023 LDV'!$AH:$AH, ('Autonomie 2023 LDV'!$A:$A=$AA45)*('Autonomie 2023 LDV'!$B:$B=AE$3)*('Autonomie 2023 LDV'!$D:$D="Midsize SUV")))</f>
        <v>28660.82925999978</v>
      </c>
      <c r="AF45" s="195">
        <f t="shared" ref="AF45:AF54" si="71">($AH45-$AE45)/3 + AE45</f>
        <v>28623.939268993519</v>
      </c>
      <c r="AG45" s="195">
        <f t="shared" ref="AG45:AG54" si="72">($AH45-$AE45)/3 + AF45</f>
        <v>28587.049277987258</v>
      </c>
      <c r="AH45" s="195" cm="1">
        <f t="array" ref="AH45">AVERAGE(_xlfn._xlws.FILTER('Autonomie 2023 LDV'!$AH:$AH, ('Autonomie 2023 LDV'!$A:$A=$AA45)*('Autonomie 2023 LDV'!$B:$B=AH$3)*('Autonomie 2023 LDV'!$D:$D="Midsize SUV")))</f>
        <v>28550.159286980994</v>
      </c>
      <c r="AI45" s="85">
        <f t="shared" si="70"/>
        <v>-2.9411794678895192E-3</v>
      </c>
      <c r="AK45" s="381" t="s">
        <v>247</v>
      </c>
      <c r="AL45" s="406">
        <f t="shared" si="68"/>
        <v>603787.38753388135</v>
      </c>
      <c r="AM45" s="406">
        <f t="shared" si="65"/>
        <v>479895.13155953691</v>
      </c>
      <c r="AN45" s="406">
        <f t="shared" si="65"/>
        <v>354540.6002907189</v>
      </c>
      <c r="AO45" s="406">
        <f t="shared" si="65"/>
        <v>290206.34093677724</v>
      </c>
      <c r="AP45" s="406">
        <f t="shared" si="65"/>
        <v>261314.76217455234</v>
      </c>
      <c r="AQ45" s="406">
        <f t="shared" si="65"/>
        <v>232423.18341232749</v>
      </c>
      <c r="AR45" s="406">
        <f t="shared" si="65"/>
        <v>203531.60465010261</v>
      </c>
      <c r="AS45" s="114">
        <f t="shared" si="66"/>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67"/>
        <v>-7.8947368421052488E-2</v>
      </c>
    </row>
    <row r="46" spans="1:61" x14ac:dyDescent="0.25">
      <c r="A46" t="s">
        <v>1074</v>
      </c>
      <c r="B46" t="s">
        <v>95</v>
      </c>
      <c r="C46" t="s">
        <v>4050</v>
      </c>
      <c r="D46">
        <v>2023</v>
      </c>
      <c r="E46">
        <v>2023</v>
      </c>
      <c r="F46" t="s">
        <v>1781</v>
      </c>
      <c r="G46">
        <f t="shared" si="56"/>
        <v>1.1463657166123775</v>
      </c>
      <c r="H46">
        <v>2020</v>
      </c>
      <c r="I46" t="s">
        <v>1783</v>
      </c>
      <c r="J46" t="s">
        <v>1084</v>
      </c>
      <c r="K46" s="277">
        <f t="shared" ref="K46:Q51" si="73">AL42*1000/1000000</f>
        <v>150.24627627214755</v>
      </c>
      <c r="L46" s="73">
        <f t="shared" si="73"/>
        <v>150.78258797038754</v>
      </c>
      <c r="M46" s="73">
        <f t="shared" si="73"/>
        <v>151.84642801677077</v>
      </c>
      <c r="N46" s="73">
        <f t="shared" si="73"/>
        <v>152.43921790601246</v>
      </c>
      <c r="O46" s="73">
        <f t="shared" si="73"/>
        <v>153.33525930908948</v>
      </c>
      <c r="P46" s="73">
        <f t="shared" si="73"/>
        <v>154.23130071216659</v>
      </c>
      <c r="Q46" s="73">
        <f t="shared" si="73"/>
        <v>155.12734211524366</v>
      </c>
      <c r="R46" s="72" t="s">
        <v>4057</v>
      </c>
      <c r="S46" s="717">
        <v>3</v>
      </c>
      <c r="T46" s="377">
        <v>1</v>
      </c>
      <c r="U46" s="377">
        <v>1</v>
      </c>
      <c r="V46" s="377">
        <v>3</v>
      </c>
      <c r="W46" s="377">
        <v>1</v>
      </c>
      <c r="X46" s="1044"/>
      <c r="Z46" s="1044"/>
      <c r="AA46" s="17" t="s">
        <v>889</v>
      </c>
      <c r="AB46" s="195" cm="1">
        <f t="array" ref="AB46">AVERAGE(_xlfn._xlws.FILTER('Autonomie 2023 LDV'!$AH:$AH, ('Autonomie 2023 LDV'!$A:$A=$AA46)*('Autonomie 2023 LDV'!$B:$B=AB$3)*('Autonomie 2023 LDV'!$D:$D="Midsize SUV")))</f>
        <v>31014.494263432214</v>
      </c>
      <c r="AC46" s="195" cm="1">
        <f t="array" ref="AC46">AVERAGE(_xlfn._xlws.FILTER('Autonomie 2023 LDV'!$AH:$AH, ('Autonomie 2023 LDV'!$A:$A=$AA46)*('Autonomie 2023 LDV'!$B:$B=AC$3)*('Autonomie 2023 LDV'!$D:$D="Midsize SUV")))</f>
        <v>30939.32457375012</v>
      </c>
      <c r="AD46" s="195" cm="1">
        <f t="array" ref="AD46">AVERAGE(_xlfn._xlws.FILTER('Autonomie 2023 LDV'!$AH:$AH, ('Autonomie 2023 LDV'!$A:$A=$AA46)*('Autonomie 2023 LDV'!$B:$B=AD$3)*('Autonomie 2023 LDV'!$D:$D="Midsize SUV")))</f>
        <v>30957.703241907471</v>
      </c>
      <c r="AE46" s="195" cm="1">
        <f t="array" ref="AE46">AVERAGE(_xlfn._xlws.FILTER('Autonomie 2023 LDV'!$AH:$AH, ('Autonomie 2023 LDV'!$A:$A=$AA46)*('Autonomie 2023 LDV'!$B:$B=AE$3)*('Autonomie 2023 LDV'!$D:$D="Midsize SUV")))</f>
        <v>31007.411494515498</v>
      </c>
      <c r="AF46" s="195">
        <f t="shared" si="71"/>
        <v>30970.892800028665</v>
      </c>
      <c r="AG46" s="195">
        <f t="shared" si="72"/>
        <v>30934.374105541832</v>
      </c>
      <c r="AH46" s="195" cm="1">
        <f t="array" ref="AH46">AVERAGE(_xlfn._xlws.FILTER('Autonomie 2023 LDV'!$AH:$AH, ('Autonomie 2023 LDV'!$A:$A=$AA46)*('Autonomie 2023 LDV'!$B:$B=AH$3)*('Autonomie 2023 LDV'!$D:$D="Midsize SUV")))</f>
        <v>30897.855411055003</v>
      </c>
      <c r="AI46" s="85">
        <f t="shared" si="70"/>
        <v>-3.7607852440378091E-3</v>
      </c>
      <c r="AK46" s="381" t="s">
        <v>567</v>
      </c>
      <c r="AL46" s="406">
        <f t="shared" si="68"/>
        <v>355939.14742547512</v>
      </c>
      <c r="AM46" s="406">
        <f t="shared" si="65"/>
        <v>303228.8200657639</v>
      </c>
      <c r="AN46" s="406">
        <f t="shared" si="65"/>
        <v>263849.22870213032</v>
      </c>
      <c r="AO46" s="406">
        <f t="shared" si="65"/>
        <v>238862.92303494335</v>
      </c>
      <c r="AP46" s="406">
        <f t="shared" si="65"/>
        <v>225690.85079897277</v>
      </c>
      <c r="AQ46" s="406">
        <f t="shared" si="65"/>
        <v>212518.77856300218</v>
      </c>
      <c r="AR46" s="406">
        <f t="shared" si="65"/>
        <v>199346.70632703163</v>
      </c>
      <c r="AS46" s="114">
        <f t="shared" si="66"/>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67"/>
        <v>-0.16292134831460683</v>
      </c>
    </row>
    <row r="47" spans="1:61" x14ac:dyDescent="0.25">
      <c r="A47" t="s">
        <v>1075</v>
      </c>
      <c r="B47" t="s">
        <v>95</v>
      </c>
      <c r="C47" t="s">
        <v>4050</v>
      </c>
      <c r="D47">
        <v>2023</v>
      </c>
      <c r="E47">
        <v>2023</v>
      </c>
      <c r="F47" t="s">
        <v>1781</v>
      </c>
      <c r="G47">
        <f t="shared" si="56"/>
        <v>1.1463657166123775</v>
      </c>
      <c r="H47">
        <v>2020</v>
      </c>
      <c r="I47" t="s">
        <v>1783</v>
      </c>
      <c r="J47" t="s">
        <v>1084</v>
      </c>
      <c r="K47" s="277">
        <f t="shared" si="73"/>
        <v>167.22408809733048</v>
      </c>
      <c r="L47" s="73">
        <f t="shared" si="73"/>
        <v>165.07709380220351</v>
      </c>
      <c r="M47" s="73">
        <f t="shared" si="73"/>
        <v>164.47313866499456</v>
      </c>
      <c r="N47" s="73">
        <f t="shared" si="73"/>
        <v>163.71304834341626</v>
      </c>
      <c r="O47" s="73">
        <f t="shared" si="73"/>
        <v>164.39596629278941</v>
      </c>
      <c r="P47" s="73">
        <f t="shared" si="73"/>
        <v>165.07888424216253</v>
      </c>
      <c r="Q47" s="73">
        <f t="shared" si="73"/>
        <v>165.76180219153559</v>
      </c>
      <c r="R47" s="72" t="s">
        <v>4057</v>
      </c>
      <c r="S47" s="717">
        <v>3</v>
      </c>
      <c r="T47" s="377">
        <v>1</v>
      </c>
      <c r="U47" s="377">
        <v>1</v>
      </c>
      <c r="V47" s="377">
        <v>3</v>
      </c>
      <c r="W47" s="377">
        <v>1</v>
      </c>
      <c r="X47" s="1044"/>
      <c r="Z47" s="1044"/>
      <c r="AA47" s="17" t="s">
        <v>3001</v>
      </c>
      <c r="AB47" s="195" cm="1">
        <f t="array" ref="AB47">AVERAGE(_xlfn._xlws.FILTER('Autonomie 2023 LDV'!$AH:$AH, ('Autonomie 2023 LDV'!$A:$A=$AA47)*('Autonomie 2023 LDV'!$B:$B=AB$3)*('Autonomie 2023 LDV'!$D:$D="Midsize SUV")))</f>
        <v>28920.296481542289</v>
      </c>
      <c r="AC47" s="195" cm="1">
        <f t="array" ref="AC47">AVERAGE(_xlfn._xlws.FILTER('Autonomie 2023 LDV'!$AH:$AH, ('Autonomie 2023 LDV'!$A:$A=$AA47)*('Autonomie 2023 LDV'!$B:$B=AC$3)*('Autonomie 2023 LDV'!$D:$D="Midsize SUV")))</f>
        <v>28112.573467425249</v>
      </c>
      <c r="AD47" s="195" cm="1">
        <f t="array" ref="AD47">AVERAGE(_xlfn._xlws.FILTER('Autonomie 2023 LDV'!$AH:$AH, ('Autonomie 2023 LDV'!$A:$A=$AA47)*('Autonomie 2023 LDV'!$B:$B=AD$3)*('Autonomie 2023 LDV'!$D:$D="Midsize SUV")))</f>
        <v>27326.818720047955</v>
      </c>
      <c r="AE47" s="195" cm="1">
        <f t="array" ref="AE47">AVERAGE(_xlfn._xlws.FILTER('Autonomie 2023 LDV'!$AH:$AH, ('Autonomie 2023 LDV'!$A:$A=$AA47)*('Autonomie 2023 LDV'!$B:$B=AE$3)*('Autonomie 2023 LDV'!$D:$D="Midsize SUV")))</f>
        <v>26847.703882927097</v>
      </c>
      <c r="AF47" s="195">
        <f t="shared" si="71"/>
        <v>26523.770609403819</v>
      </c>
      <c r="AG47" s="195">
        <f t="shared" si="72"/>
        <v>26199.83733588054</v>
      </c>
      <c r="AH47" s="195" cm="1">
        <f t="array" ref="AH47">AVERAGE(_xlfn._xlws.FILTER('Autonomie 2023 LDV'!$AH:$AH, ('Autonomie 2023 LDV'!$A:$A=$AA47)*('Autonomie 2023 LDV'!$B:$B=AH$3)*('Autonomie 2023 LDV'!$D:$D="Midsize SUV")))</f>
        <v>25875.904062357266</v>
      </c>
      <c r="AI47" s="85">
        <f t="shared" si="70"/>
        <v>-0.10526836822464931</v>
      </c>
      <c r="AK47" s="381" t="s">
        <v>929</v>
      </c>
      <c r="AL47" s="406">
        <f t="shared" si="68"/>
        <v>286761.40195296908</v>
      </c>
      <c r="AM47" s="406">
        <f t="shared" si="65"/>
        <v>243739.21751992987</v>
      </c>
      <c r="AN47" s="406">
        <f t="shared" si="65"/>
        <v>209708.80716117963</v>
      </c>
      <c r="AO47" s="406">
        <f t="shared" si="65"/>
        <v>186801.31655752275</v>
      </c>
      <c r="AP47" s="406">
        <f t="shared" si="65"/>
        <v>176394.72579162332</v>
      </c>
      <c r="AQ47" s="406">
        <f t="shared" si="65"/>
        <v>165988.13502572392</v>
      </c>
      <c r="AR47" s="406">
        <f t="shared" si="65"/>
        <v>155581.54425982453</v>
      </c>
      <c r="AS47" s="114">
        <f t="shared" si="66"/>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67"/>
        <v>-0.13529411764705879</v>
      </c>
    </row>
    <row r="48" spans="1:61" ht="15.75" thickBot="1" x14ac:dyDescent="0.3">
      <c r="A48" t="s">
        <v>1076</v>
      </c>
      <c r="B48" t="s">
        <v>95</v>
      </c>
      <c r="C48" t="s">
        <v>4050</v>
      </c>
      <c r="D48">
        <v>2023</v>
      </c>
      <c r="E48">
        <v>2023</v>
      </c>
      <c r="F48" t="s">
        <v>1781</v>
      </c>
      <c r="G48">
        <f t="shared" si="56"/>
        <v>1.1463657166123775</v>
      </c>
      <c r="H48">
        <v>2020</v>
      </c>
      <c r="I48" t="s">
        <v>1783</v>
      </c>
      <c r="J48" t="s">
        <v>1084</v>
      </c>
      <c r="K48" s="277">
        <f t="shared" si="73"/>
        <v>554.82143512629079</v>
      </c>
      <c r="L48" s="73">
        <f t="shared" si="73"/>
        <v>448.49312670760435</v>
      </c>
      <c r="M48" s="73">
        <f t="shared" si="73"/>
        <v>343.10838043889527</v>
      </c>
      <c r="N48" s="73">
        <f t="shared" si="73"/>
        <v>283.83986692235231</v>
      </c>
      <c r="O48" s="73">
        <f t="shared" si="73"/>
        <v>259.00327830938562</v>
      </c>
      <c r="P48" s="73">
        <f t="shared" si="73"/>
        <v>234.16668969641893</v>
      </c>
      <c r="Q48" s="73">
        <f t="shared" si="73"/>
        <v>209.33010108345223</v>
      </c>
      <c r="R48" s="72" t="s">
        <v>4057</v>
      </c>
      <c r="S48" s="717">
        <v>3</v>
      </c>
      <c r="T48" s="377">
        <v>1</v>
      </c>
      <c r="U48" s="377">
        <v>1</v>
      </c>
      <c r="V48" s="377">
        <v>3</v>
      </c>
      <c r="W48" s="377">
        <v>1</v>
      </c>
      <c r="X48" s="1044"/>
      <c r="Z48" s="1044"/>
      <c r="AA48" s="17" t="s">
        <v>4423</v>
      </c>
      <c r="AB48" s="195" cm="1">
        <f t="array" ref="AB48">AVERAGE(_xlfn._xlws.FILTER('Autonomie 2023 LDV'!$AH:$AH, ('Autonomie 2023 LDV'!$A:$A=$AA48)*('Autonomie 2023 LDV'!$B:$B=AB$3)*('Autonomie 2023 LDV'!$D:$D="Midsize SUV")))</f>
        <v>31655.863290235353</v>
      </c>
      <c r="AC48" s="195" cm="1">
        <f t="array" ref="AC48">AVERAGE(_xlfn._xlws.FILTER('Autonomie 2023 LDV'!$AH:$AH, ('Autonomie 2023 LDV'!$A:$A=$AA48)*('Autonomie 2023 LDV'!$B:$B=AC$3)*('Autonomie 2023 LDV'!$D:$D="Midsize SUV")))</f>
        <v>30723.976025889689</v>
      </c>
      <c r="AD48" s="195" cm="1">
        <f t="array" ref="AD48">AVERAGE(_xlfn._xlws.FILTER('Autonomie 2023 LDV'!$AH:$AH, ('Autonomie 2023 LDV'!$A:$A=$AA48)*('Autonomie 2023 LDV'!$B:$B=AD$3)*('Autonomie 2023 LDV'!$D:$D="Midsize SUV")))</f>
        <v>29956.27110896563</v>
      </c>
      <c r="AE48" s="195" cm="1">
        <f t="array" ref="AE48">AVERAGE(_xlfn._xlws.FILTER('Autonomie 2023 LDV'!$AH:$AH, ('Autonomie 2023 LDV'!$A:$A=$AA48)*('Autonomie 2023 LDV'!$B:$B=AE$3)*('Autonomie 2023 LDV'!$D:$D="Midsize SUV")))</f>
        <v>30069.317634586805</v>
      </c>
      <c r="AF48" s="195">
        <f t="shared" si="71"/>
        <v>29689.59118928192</v>
      </c>
      <c r="AG48" s="195">
        <f t="shared" si="72"/>
        <v>29309.864743977036</v>
      </c>
      <c r="AH48" s="195" cm="1">
        <f t="array" ref="AH48">AVERAGE(_xlfn._xlws.FILTER('Autonomie 2023 LDV'!$AH:$AH, ('Autonomie 2023 LDV'!$A:$A=$AA48)*('Autonomie 2023 LDV'!$B:$B=AH$3)*('Autonomie 2023 LDV'!$D:$D="Midsize SUV")))</f>
        <v>28930.138298672147</v>
      </c>
      <c r="AI48" s="85">
        <f t="shared" si="70"/>
        <v>-8.6104901533485878E-2</v>
      </c>
      <c r="AK48" s="379" t="s">
        <v>1116</v>
      </c>
      <c r="AS48" s="114"/>
      <c r="AT48" s="63"/>
      <c r="AV48" s="4" t="s">
        <v>1051</v>
      </c>
      <c r="AZ48" s="85"/>
    </row>
    <row r="49" spans="1:52" x14ac:dyDescent="0.25">
      <c r="A49" t="s">
        <v>1077</v>
      </c>
      <c r="B49" t="s">
        <v>95</v>
      </c>
      <c r="C49" t="s">
        <v>4050</v>
      </c>
      <c r="D49">
        <v>2023</v>
      </c>
      <c r="E49">
        <v>2023</v>
      </c>
      <c r="F49" t="s">
        <v>1781</v>
      </c>
      <c r="G49">
        <f t="shared" si="56"/>
        <v>1.1463657166123775</v>
      </c>
      <c r="H49">
        <v>2020</v>
      </c>
      <c r="I49" t="s">
        <v>1783</v>
      </c>
      <c r="J49" t="s">
        <v>1084</v>
      </c>
      <c r="K49" s="277">
        <f t="shared" si="73"/>
        <v>603.78738753388131</v>
      </c>
      <c r="L49" s="73">
        <f t="shared" si="73"/>
        <v>479.89513155953694</v>
      </c>
      <c r="M49" s="73">
        <f t="shared" si="73"/>
        <v>354.54060029071888</v>
      </c>
      <c r="N49" s="73">
        <f t="shared" si="73"/>
        <v>290.20634093677722</v>
      </c>
      <c r="O49" s="73">
        <f t="shared" si="73"/>
        <v>261.3147621745523</v>
      </c>
      <c r="P49" s="73">
        <f t="shared" si="73"/>
        <v>232.42318341232749</v>
      </c>
      <c r="Q49" s="73">
        <f t="shared" si="73"/>
        <v>203.53160465010262</v>
      </c>
      <c r="R49" s="72" t="s">
        <v>4057</v>
      </c>
      <c r="S49" s="717">
        <v>3</v>
      </c>
      <c r="T49" s="377">
        <v>1</v>
      </c>
      <c r="U49" s="377">
        <v>1</v>
      </c>
      <c r="V49" s="377">
        <v>3</v>
      </c>
      <c r="W49" s="377">
        <v>1</v>
      </c>
      <c r="X49" s="1044"/>
      <c r="Z49" s="1044"/>
      <c r="AA49" s="17" t="s">
        <v>4424</v>
      </c>
      <c r="AB49" s="195" cm="1">
        <f t="array" ref="AB49">AVERAGE(_xlfn._xlws.FILTER('Autonomie 2023 LDV'!$AH:$AH, ('Autonomie 2023 LDV'!$A:$A=$AA49)*('Autonomie 2023 LDV'!$B:$B=AB$3)*('Autonomie 2023 LDV'!$D:$D="Midsize SUV")))</f>
        <v>33699.596795015234</v>
      </c>
      <c r="AC49" s="195" cm="1">
        <f t="array" ref="AC49">AVERAGE(_xlfn._xlws.FILTER('Autonomie 2023 LDV'!$AH:$AH, ('Autonomie 2023 LDV'!$A:$A=$AA49)*('Autonomie 2023 LDV'!$B:$B=AC$3)*('Autonomie 2023 LDV'!$D:$D="Midsize SUV")))</f>
        <v>32486.121108733198</v>
      </c>
      <c r="AD49" s="195" cm="1">
        <f t="array" ref="AD49">AVERAGE(_xlfn._xlws.FILTER('Autonomie 2023 LDV'!$AH:$AH, ('Autonomie 2023 LDV'!$A:$A=$AA49)*('Autonomie 2023 LDV'!$B:$B=AD$3)*('Autonomie 2023 LDV'!$D:$D="Midsize SUV")))</f>
        <v>31399.501807377139</v>
      </c>
      <c r="AE49" s="195" cm="1">
        <f t="array" ref="AE49">AVERAGE(_xlfn._xlws.FILTER('Autonomie 2023 LDV'!$AH:$AH, ('Autonomie 2023 LDV'!$A:$A=$AA49)*('Autonomie 2023 LDV'!$B:$B=AE$3)*('Autonomie 2023 LDV'!$D:$D="Midsize SUV")))</f>
        <v>31138.11717421042</v>
      </c>
      <c r="AF49" s="195">
        <f t="shared" si="71"/>
        <v>30703.867338849566</v>
      </c>
      <c r="AG49" s="195">
        <f t="shared" si="72"/>
        <v>30269.617503488713</v>
      </c>
      <c r="AH49" s="195" cm="1">
        <f t="array" ref="AH49">AVERAGE(_xlfn._xlws.FILTER('Autonomie 2023 LDV'!$AH:$AH, ('Autonomie 2023 LDV'!$A:$A=$AA49)*('Autonomie 2023 LDV'!$B:$B=AH$3)*('Autonomie 2023 LDV'!$D:$D="Midsize SUV")))</f>
        <v>29835.367668127863</v>
      </c>
      <c r="AI49" s="85">
        <f t="shared" si="70"/>
        <v>-0.11466692466358999</v>
      </c>
      <c r="AK49" s="381" t="s">
        <v>905</v>
      </c>
      <c r="AL49" s="406" cm="1">
        <f t="array" ref="AL49">SUMPRODUCT(_xlfn._xlws.FILTER('Autonomie 2023 MHDV'!$AL:$AL,(NOT(ISERROR(SEARCH("_ci_", 'Autonomie 2023 MHDV'!$G:$G))))*('Autonomie 2023 MHDV'!$A:$A=$AK49)*('Autonomie 2023 MHDV'!$B:$B=AL$32)*('Autonomie 2023 MHDV'!$D:$D="School")), $AB$154:$AB$155)</f>
        <v>84001.689695828289</v>
      </c>
      <c r="AM49" s="406" cm="1">
        <f t="array" ref="AM49">SUMPRODUCT(_xlfn._xlws.FILTER('Autonomie 2023 MHDV'!$AL:$AL,(NOT(ISERROR(SEARCH("_ci_", 'Autonomie 2023 MHDV'!$G:$G))))*('Autonomie 2023 MHDV'!$A:$A=$AK49)*('Autonomie 2023 MHDV'!$B:$B=AM$32)*('Autonomie 2023 MHDV'!$D:$D="School")), $AB$154:$AB$155)</f>
        <v>84765.53647186172</v>
      </c>
      <c r="AN49" s="406" cm="1">
        <f t="array" ref="AN49">SUMPRODUCT(_xlfn._xlws.FILTER('Autonomie 2023 MHDV'!$AL:$AL,(NOT(ISERROR(SEARCH("_ci_", 'Autonomie 2023 MHDV'!$G:$G))))*('Autonomie 2023 MHDV'!$A:$A=$AK49)*('Autonomie 2023 MHDV'!$B:$B=AN$32)*('Autonomie 2023 MHDV'!$D:$D="School")), $AB$154:$AB$155)</f>
        <v>85496.850255531797</v>
      </c>
      <c r="AO49" s="406" cm="1">
        <f t="array" ref="AO49">SUMPRODUCT(_xlfn._xlws.FILTER('Autonomie 2023 MHDV'!$AL:$AL,(NOT(ISERROR(SEARCH("_ci_", 'Autonomie 2023 MHDV'!$G:$G))))*('Autonomie 2023 MHDV'!$A:$A=$AK49)*('Autonomie 2023 MHDV'!$B:$B=AO$32)*('Autonomie 2023 MHDV'!$D:$D="School")), $AB$154:$AB$155)</f>
        <v>85630.907500846835</v>
      </c>
      <c r="AP49" s="406">
        <f t="shared" ref="AP49:AQ54" si="74">($AR49-$AO49)/3 + AO49</f>
        <v>85801.434754857066</v>
      </c>
      <c r="AQ49" s="406">
        <f t="shared" si="74"/>
        <v>85971.962008867296</v>
      </c>
      <c r="AR49" s="406" cm="1">
        <f t="array" ref="AR49">SUMPRODUCT(_xlfn._xlws.FILTER('Autonomie 2023 MHDV'!$AL:$AL,(NOT(ISERROR(SEARCH("_ci_", 'Autonomie 2023 MHDV'!$G:$G))))*('Autonomie 2023 MHDV'!$A:$A=$AK49)*('Autonomie 2023 MHDV'!$B:$B=AR$32)*('Autonomie 2023 MHDV'!$D:$D="School")), $AB$154:$AB$155)</f>
        <v>86142.489262877527</v>
      </c>
      <c r="AS49" s="114">
        <f t="shared" ref="AS49:AS54" si="75">(AR49-AL49)/AL49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76">(AY49-AW49)/AW49</f>
        <v>-3.636363636363641E-2</v>
      </c>
    </row>
    <row r="50" spans="1:52" ht="15.75" thickBot="1" x14ac:dyDescent="0.3">
      <c r="A50" t="s">
        <v>1078</v>
      </c>
      <c r="B50" t="s">
        <v>95</v>
      </c>
      <c r="C50" t="s">
        <v>4050</v>
      </c>
      <c r="D50">
        <v>2023</v>
      </c>
      <c r="E50">
        <v>2023</v>
      </c>
      <c r="F50" t="s">
        <v>1781</v>
      </c>
      <c r="G50">
        <f t="shared" si="56"/>
        <v>1.1463657166123775</v>
      </c>
      <c r="H50">
        <v>2020</v>
      </c>
      <c r="I50" t="s">
        <v>1783</v>
      </c>
      <c r="J50" t="s">
        <v>1084</v>
      </c>
      <c r="K50" s="277">
        <f t="shared" si="73"/>
        <v>355.93914742547514</v>
      </c>
      <c r="L50" s="73">
        <f t="shared" si="73"/>
        <v>303.2288200657639</v>
      </c>
      <c r="M50" s="73">
        <f t="shared" si="73"/>
        <v>263.84922870213029</v>
      </c>
      <c r="N50" s="73">
        <f t="shared" si="73"/>
        <v>238.86292303494335</v>
      </c>
      <c r="O50" s="73">
        <f t="shared" si="73"/>
        <v>225.69085079897275</v>
      </c>
      <c r="P50" s="73">
        <f t="shared" si="73"/>
        <v>212.51877856300217</v>
      </c>
      <c r="Q50" s="73">
        <f t="shared" si="73"/>
        <v>199.34670632703165</v>
      </c>
      <c r="R50" s="72" t="s">
        <v>4057</v>
      </c>
      <c r="S50" s="717">
        <v>3</v>
      </c>
      <c r="T50" s="377">
        <v>1</v>
      </c>
      <c r="U50" s="377">
        <v>1</v>
      </c>
      <c r="V50" s="377">
        <v>3</v>
      </c>
      <c r="W50" s="377">
        <v>1</v>
      </c>
      <c r="X50" s="1044"/>
      <c r="Z50" s="1044"/>
      <c r="AA50" s="17" t="s">
        <v>2997</v>
      </c>
      <c r="AB50" s="195" cm="1">
        <f t="array" ref="AB50">AVERAGE(_xlfn._xlws.FILTER('Autonomie 2023 LDV'!$AH:$AH, ('Autonomie 2023 LDV'!$A:$A=$AA50)*('Autonomie 2023 LDV'!$B:$B=AB$3)*('Autonomie 2023 LDV'!$D:$D="Midsize SUV")))</f>
        <v>27047.402287783571</v>
      </c>
      <c r="AC50" s="195" cm="1">
        <f t="array" ref="AC50">AVERAGE(_xlfn._xlws.FILTER('Autonomie 2023 LDV'!$AH:$AH, ('Autonomie 2023 LDV'!$A:$A=$AA50)*('Autonomie 2023 LDV'!$B:$B=AC$3)*('Autonomie 2023 LDV'!$D:$D="Midsize SUV")))</f>
        <v>25488.769393274153</v>
      </c>
      <c r="AD50" s="195" cm="1">
        <f t="array" ref="AD50">AVERAGE(_xlfn._xlws.FILTER('Autonomie 2023 LDV'!$AH:$AH, ('Autonomie 2023 LDV'!$A:$A=$AA50)*('Autonomie 2023 LDV'!$B:$B=AD$3)*('Autonomie 2023 LDV'!$D:$D="Midsize SUV")))</f>
        <v>23872.521601641198</v>
      </c>
      <c r="AE50" s="195" cm="1">
        <f t="array" ref="AE50">AVERAGE(_xlfn._xlws.FILTER('Autonomie 2023 LDV'!$AH:$AH, ('Autonomie 2023 LDV'!$A:$A=$AA50)*('Autonomie 2023 LDV'!$B:$B=AE$3)*('Autonomie 2023 LDV'!$D:$D="Midsize SUV")))</f>
        <v>22675.973595737982</v>
      </c>
      <c r="AF50" s="195">
        <f t="shared" si="71"/>
        <v>22138.133975925626</v>
      </c>
      <c r="AG50" s="195">
        <f t="shared" si="72"/>
        <v>21600.294356113271</v>
      </c>
      <c r="AH50" s="195" cm="1">
        <f t="array" ref="AH50">AVERAGE(_xlfn._xlws.FILTER('Autonomie 2023 LDV'!$AH:$AH, ('Autonomie 2023 LDV'!$A:$A=$AA50)*('Autonomie 2023 LDV'!$B:$B=AH$3)*('Autonomie 2023 LDV'!$D:$D="Midsize SUV")))</f>
        <v>21062.454736300911</v>
      </c>
      <c r="AI50" s="85">
        <f t="shared" si="70"/>
        <v>-0.22127624264256479</v>
      </c>
      <c r="AK50" s="381" t="s">
        <v>907</v>
      </c>
      <c r="AL50" s="406" cm="1">
        <f t="array" ref="AL50">SUMPRODUCT(_xlfn._xlws.FILTER('Autonomie 2023 MHDV'!$AL:$AL,(NOT(ISERROR(SEARCH("_ci_", 'Autonomie 2023 MHDV'!$G:$G))))*('Autonomie 2023 MHDV'!$A:$A=$AK50)*('Autonomie 2023 MHDV'!$B:$B=AL$32)*('Autonomie 2023 MHDV'!$D:$D="School")), $AB$154:$AB$155)</f>
        <v>94628.229958787619</v>
      </c>
      <c r="AM50" s="406" cm="1">
        <f t="array" ref="AM50">SUMPRODUCT(_xlfn._xlws.FILTER('Autonomie 2023 MHDV'!$AL:$AL,(NOT(ISERROR(SEARCH("_ci_", 'Autonomie 2023 MHDV'!$G:$G))))*('Autonomie 2023 MHDV'!$A:$A=$AK50)*('Autonomie 2023 MHDV'!$B:$B=AM$32)*('Autonomie 2023 MHDV'!$D:$D="School")), $AB$154:$AB$155)</f>
        <v>94876.21798051754</v>
      </c>
      <c r="AN50" s="406" cm="1">
        <f t="array" ref="AN50">SUMPRODUCT(_xlfn._xlws.FILTER('Autonomie 2023 MHDV'!$AL:$AL,(NOT(ISERROR(SEARCH("_ci_", 'Autonomie 2023 MHDV'!$G:$G))))*('Autonomie 2023 MHDV'!$A:$A=$AK50)*('Autonomie 2023 MHDV'!$B:$B=AN$32)*('Autonomie 2023 MHDV'!$D:$D="School")), $AB$154:$AB$155)</f>
        <v>93865.365995309898</v>
      </c>
      <c r="AO50" s="406" cm="1">
        <f t="array" ref="AO50">SUMPRODUCT(_xlfn._xlws.FILTER('Autonomie 2023 MHDV'!$AL:$AL,(NOT(ISERROR(SEARCH("_ci_", 'Autonomie 2023 MHDV'!$G:$G))))*('Autonomie 2023 MHDV'!$A:$A=$AK50)*('Autonomie 2023 MHDV'!$B:$B=AO$32)*('Autonomie 2023 MHDV'!$D:$D="School")), $AB$154:$AB$155)</f>
        <v>93519.589652027658</v>
      </c>
      <c r="AP50" s="406">
        <f t="shared" si="74"/>
        <v>93376.27435805912</v>
      </c>
      <c r="AQ50" s="406">
        <f t="shared" si="74"/>
        <v>93232.959064090581</v>
      </c>
      <c r="AR50" s="406" cm="1">
        <f t="array" ref="AR50">SUMPRODUCT(_xlfn._xlws.FILTER('Autonomie 2023 MHDV'!$AL:$AL,(NOT(ISERROR(SEARCH("_ci_", 'Autonomie 2023 MHDV'!$G:$G))))*('Autonomie 2023 MHDV'!$A:$A=$AK50)*('Autonomie 2023 MHDV'!$B:$B=AR$32)*('Autonomie 2023 MHDV'!$D:$D="School")), $AB$154:$AB$155)</f>
        <v>93089.643770122057</v>
      </c>
      <c r="AS50" s="114">
        <f t="shared" si="75"/>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76"/>
        <v>-0.60621761658031081</v>
      </c>
    </row>
    <row r="51" spans="1:52" x14ac:dyDescent="0.25">
      <c r="A51" t="s">
        <v>1079</v>
      </c>
      <c r="B51" t="s">
        <v>95</v>
      </c>
      <c r="C51" t="s">
        <v>4050</v>
      </c>
      <c r="D51">
        <v>2023</v>
      </c>
      <c r="E51">
        <v>2023</v>
      </c>
      <c r="F51" t="s">
        <v>1781</v>
      </c>
      <c r="G51">
        <f t="shared" si="56"/>
        <v>1.1463657166123775</v>
      </c>
      <c r="H51">
        <v>2020</v>
      </c>
      <c r="I51" t="s">
        <v>1783</v>
      </c>
      <c r="J51" t="s">
        <v>1084</v>
      </c>
      <c r="K51" s="277">
        <f t="shared" si="73"/>
        <v>286.76140195296909</v>
      </c>
      <c r="L51" s="73">
        <f t="shared" si="73"/>
        <v>243.73921751992987</v>
      </c>
      <c r="M51" s="73">
        <f t="shared" si="73"/>
        <v>209.70880716117964</v>
      </c>
      <c r="N51" s="73">
        <f t="shared" si="73"/>
        <v>186.80131655752274</v>
      </c>
      <c r="O51" s="73">
        <f t="shared" si="73"/>
        <v>176.39472579162333</v>
      </c>
      <c r="P51" s="73">
        <f t="shared" si="73"/>
        <v>165.98813502572392</v>
      </c>
      <c r="Q51" s="73">
        <f t="shared" si="73"/>
        <v>155.58154425982451</v>
      </c>
      <c r="R51" s="72" t="s">
        <v>4057</v>
      </c>
      <c r="S51" s="717">
        <v>3</v>
      </c>
      <c r="T51" s="377">
        <v>1</v>
      </c>
      <c r="U51" s="377">
        <v>1</v>
      </c>
      <c r="V51" s="377">
        <v>3</v>
      </c>
      <c r="W51" s="377">
        <v>1</v>
      </c>
      <c r="AA51" s="17" t="s">
        <v>883</v>
      </c>
      <c r="AB51" s="195" cm="1">
        <f t="array" ref="AB51">AVERAGE(_xlfn._xlws.FILTER('Autonomie 2023 LDV'!$AH:$AH, ('Autonomie 2023 LDV'!$A:$A=$AA51)*('Autonomie 2023 LDV'!$B:$B=AB$3)*('Autonomie 2023 LDV'!$D:$D="Midsize SUV")))</f>
        <v>30021.787291824712</v>
      </c>
      <c r="AC51" s="195" cm="1">
        <f t="array" ref="AC51">AVERAGE(_xlfn._xlws.FILTER('Autonomie 2023 LDV'!$AH:$AH, ('Autonomie 2023 LDV'!$A:$A=$AA51)*('Autonomie 2023 LDV'!$B:$B=AC$3)*('Autonomie 2023 LDV'!$D:$D="Midsize SUV")))</f>
        <v>27720.130855851843</v>
      </c>
      <c r="AD51" s="195" cm="1">
        <f t="array" ref="AD51">AVERAGE(_xlfn._xlws.FILTER('Autonomie 2023 LDV'!$AH:$AH, ('Autonomie 2023 LDV'!$A:$A=$AA51)*('Autonomie 2023 LDV'!$B:$B=AD$3)*('Autonomie 2023 LDV'!$D:$D="Midsize SUV")))</f>
        <v>26019.376352162839</v>
      </c>
      <c r="AE51" s="195" cm="1">
        <f t="array" ref="AE51">AVERAGE(_xlfn._xlws.FILTER('Autonomie 2023 LDV'!$AH:$AH, ('Autonomie 2023 LDV'!$A:$A=$AA51)*('Autonomie 2023 LDV'!$B:$B=AE$3)*('Autonomie 2023 LDV'!$D:$D="Midsize SUV")))</f>
        <v>24497.856715804861</v>
      </c>
      <c r="AF51" s="195">
        <f t="shared" si="71"/>
        <v>23727.654186169377</v>
      </c>
      <c r="AG51" s="195">
        <f t="shared" si="72"/>
        <v>22957.451656533893</v>
      </c>
      <c r="AH51" s="195" cm="1">
        <f t="array" ref="AH51">AVERAGE(_xlfn._xlws.FILTER('Autonomie 2023 LDV'!$AH:$AH, ('Autonomie 2023 LDV'!$A:$A=$AA51)*('Autonomie 2023 LDV'!$B:$B=AH$3)*('Autonomie 2023 LDV'!$D:$D="Midsize SUV")))</f>
        <v>22187.249126898405</v>
      </c>
      <c r="AI51" s="85">
        <f t="shared" si="70"/>
        <v>-0.26096175050376647</v>
      </c>
      <c r="AK51" s="381" t="s">
        <v>908</v>
      </c>
      <c r="AL51" s="406" cm="1">
        <f t="array" ref="AL51">SUMPRODUCT(_xlfn._xlws.FILTER('Autonomie 2023 MHDV'!$AL:$AL,(NOT(ISERROR(SEARCH("_ci_", 'Autonomie 2023 MHDV'!$G:$G))))*('Autonomie 2023 MHDV'!$A:$A=$AK51)*('Autonomie 2023 MHDV'!$B:$B=AL$32)*('Autonomie 2023 MHDV'!$D:$D="School")), $AB$154:$AB$155)</f>
        <v>154394.37500394214</v>
      </c>
      <c r="AM51" s="406" cm="1">
        <f t="array" ref="AM51">SUMPRODUCT(_xlfn._xlws.FILTER('Autonomie 2023 MHDV'!$AL:$AL,(NOT(ISERROR(SEARCH("_ci_", 'Autonomie 2023 MHDV'!$G:$G))))*('Autonomie 2023 MHDV'!$A:$A=$AK51)*('Autonomie 2023 MHDV'!$B:$B=AM$32)*('Autonomie 2023 MHDV'!$D:$D="School")), $AB$154:$AB$155)</f>
        <v>138228.74956517428</v>
      </c>
      <c r="AN51" s="406" cm="1">
        <f t="array" ref="AN51">SUMPRODUCT(_xlfn._xlws.FILTER('Autonomie 2023 MHDV'!$AL:$AL,(NOT(ISERROR(SEARCH("_ci_", 'Autonomie 2023 MHDV'!$G:$G))))*('Autonomie 2023 MHDV'!$A:$A=$AK51)*('Autonomie 2023 MHDV'!$B:$B=AN$32)*('Autonomie 2023 MHDV'!$D:$D="School")), $AB$154:$AB$155)</f>
        <v>121431.09643403812</v>
      </c>
      <c r="AO51" s="406" cm="1">
        <f t="array" ref="AO51">SUMPRODUCT(_xlfn._xlws.FILTER('Autonomie 2023 MHDV'!$AL:$AL,(NOT(ISERROR(SEARCH("_ci_", 'Autonomie 2023 MHDV'!$G:$G))))*('Autonomie 2023 MHDV'!$A:$A=$AK51)*('Autonomie 2023 MHDV'!$B:$B=AO$32)*('Autonomie 2023 MHDV'!$D:$D="School")), $AB$154:$AB$155)</f>
        <v>111531.23747793848</v>
      </c>
      <c r="AP51" s="406">
        <f t="shared" si="74"/>
        <v>107245.36366192812</v>
      </c>
      <c r="AQ51" s="406">
        <f t="shared" si="74"/>
        <v>102959.48984591775</v>
      </c>
      <c r="AR51" s="406" cm="1">
        <f t="array" ref="AR51">SUMPRODUCT(_xlfn._xlws.FILTER('Autonomie 2023 MHDV'!$AL:$AL,(NOT(ISERROR(SEARCH("_ci_", 'Autonomie 2023 MHDV'!$G:$G))))*('Autonomie 2023 MHDV'!$A:$A=$AK51)*('Autonomie 2023 MHDV'!$B:$B=AR$32)*('Autonomie 2023 MHDV'!$D:$D="School")), $AB$154:$AB$155)</f>
        <v>98673.616029907396</v>
      </c>
      <c r="AS51" s="114">
        <f t="shared" si="75"/>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76"/>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77">BC39/1000</f>
        <v>9.4662661191381545</v>
      </c>
      <c r="L52" s="73">
        <f t="shared" si="77"/>
        <v>9.4662661191381545</v>
      </c>
      <c r="M52" s="73">
        <f t="shared" si="77"/>
        <v>9.4662661191381545</v>
      </c>
      <c r="N52" s="73">
        <f t="shared" si="77"/>
        <v>9.4662661191381545</v>
      </c>
      <c r="O52" s="73">
        <f t="shared" si="77"/>
        <v>9.4662661191381545</v>
      </c>
      <c r="P52" s="73">
        <f t="shared" si="77"/>
        <v>9.4662661191381545</v>
      </c>
      <c r="Q52" s="73">
        <f t="shared" si="77"/>
        <v>9.4662661191381545</v>
      </c>
      <c r="R52" s="54" t="s">
        <v>1774</v>
      </c>
      <c r="S52" s="717">
        <v>3</v>
      </c>
      <c r="T52" s="377">
        <v>1</v>
      </c>
      <c r="U52" s="377">
        <v>3</v>
      </c>
      <c r="V52" s="377">
        <v>2</v>
      </c>
      <c r="W52" s="377">
        <v>1</v>
      </c>
      <c r="AA52" s="17" t="s">
        <v>884</v>
      </c>
      <c r="AB52" s="195" cm="1">
        <f t="array" ref="AB52">AVERAGE(_xlfn._xlws.FILTER('Autonomie 2023 LDV'!$AH:$AH, ('Autonomie 2023 LDV'!$A:$A=$AA52)*('Autonomie 2023 LDV'!$B:$B=AB$3)*('Autonomie 2023 LDV'!$D:$D="Midsize SUV")))</f>
        <v>35660.493902479124</v>
      </c>
      <c r="AC52" s="195" cm="1">
        <f t="array" ref="AC52">AVERAGE(_xlfn._xlws.FILTER('Autonomie 2023 LDV'!$AH:$AH, ('Autonomie 2023 LDV'!$A:$A=$AA52)*('Autonomie 2023 LDV'!$B:$B=AC$3)*('Autonomie 2023 LDV'!$D:$D="Midsize SUV")))</f>
        <v>32495.223069137945</v>
      </c>
      <c r="AD52" s="195" cm="1">
        <f t="array" ref="AD52">AVERAGE(_xlfn._xlws.FILTER('Autonomie 2023 LDV'!$AH:$AH, ('Autonomie 2023 LDV'!$A:$A=$AA52)*('Autonomie 2023 LDV'!$B:$B=AD$3)*('Autonomie 2023 LDV'!$D:$D="Midsize SUV")))</f>
        <v>30354.809315484166</v>
      </c>
      <c r="AE52" s="195" cm="1">
        <f t="array" ref="AE52">AVERAGE(_xlfn._xlws.FILTER('Autonomie 2023 LDV'!$AH:$AH, ('Autonomie 2023 LDV'!$A:$A=$AA52)*('Autonomie 2023 LDV'!$B:$B=AE$3)*('Autonomie 2023 LDV'!$D:$D="Midsize SUV")))</f>
        <v>27846.855463076139</v>
      </c>
      <c r="AF52" s="195">
        <f t="shared" si="71"/>
        <v>26874.750793517422</v>
      </c>
      <c r="AG52" s="195">
        <f t="shared" si="72"/>
        <v>25902.646123958704</v>
      </c>
      <c r="AH52" s="195" cm="1">
        <f t="array" ref="AH52">AVERAGE(_xlfn._xlws.FILTER('Autonomie 2023 LDV'!$AH:$AH, ('Autonomie 2023 LDV'!$A:$A=$AA52)*('Autonomie 2023 LDV'!$B:$B=AH$3)*('Autonomie 2023 LDV'!$D:$D="Midsize SUV")))</f>
        <v>24930.54145439999</v>
      </c>
      <c r="AI52" s="85">
        <f t="shared" si="70"/>
        <v>-0.30089186306343291</v>
      </c>
      <c r="AK52" s="381" t="s">
        <v>247</v>
      </c>
      <c r="AL52" s="406" cm="1">
        <f t="array" ref="AL52">SUMPRODUCT(_xlfn._xlws.FILTER('Autonomie 2023 MHDV'!$AL:$AL,('Autonomie 2023 MHDV'!$A:$A=$AK52)*('Autonomie 2023 MHDV'!$B:$B=AL$32)*('Autonomie 2023 MHDV'!$D:$D="School")), $AB$154:$AB$155)</f>
        <v>151956.07391662494</v>
      </c>
      <c r="AM52" s="406" cm="1">
        <f t="array" ref="AM52">SUMPRODUCT(_xlfn._xlws.FILTER('Autonomie 2023 MHDV'!$AL:$AL,('Autonomie 2023 MHDV'!$A:$A=$AK52)*('Autonomie 2023 MHDV'!$B:$B=AM$32)*('Autonomie 2023 MHDV'!$D:$D="School")), $AB$154:$AB$155)</f>
        <v>134539.07451554618</v>
      </c>
      <c r="AN52" s="406" cm="1">
        <f t="array" ref="AN52">SUMPRODUCT(_xlfn._xlws.FILTER('Autonomie 2023 MHDV'!$AL:$AL,('Autonomie 2023 MHDV'!$A:$A=$AK52)*('Autonomie 2023 MHDV'!$B:$B=AN$32)*('Autonomie 2023 MHDV'!$D:$D="School")), $AB$154:$AB$155)</f>
        <v>113704.45256099917</v>
      </c>
      <c r="AO52" s="406" cm="1">
        <f t="array" ref="AO52">SUMPRODUCT(_xlfn._xlws.FILTER('Autonomie 2023 MHDV'!$AL:$AL,('Autonomie 2023 MHDV'!$A:$A=$AK52)*('Autonomie 2023 MHDV'!$B:$B=AO$32)*('Autonomie 2023 MHDV'!$D:$D="School")), $AB$154:$AB$155)</f>
        <v>102831.49698923828</v>
      </c>
      <c r="AP52" s="406">
        <f t="shared" si="74"/>
        <v>97859.872191903123</v>
      </c>
      <c r="AQ52" s="406">
        <f t="shared" si="74"/>
        <v>92888.247394567967</v>
      </c>
      <c r="AR52" s="406" cm="1">
        <f t="array" ref="AR52">SUMPRODUCT(_xlfn._xlws.FILTER('Autonomie 2023 MHDV'!$AL:$AL,('Autonomie 2023 MHDV'!$A:$A=$AK52)*('Autonomie 2023 MHDV'!$B:$B=AR$32)*('Autonomie 2023 MHDV'!$D:$D="School")), $AB$154:$AB$155)</f>
        <v>87916.622597232825</v>
      </c>
      <c r="AS52" s="114">
        <f t="shared" si="75"/>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76"/>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77"/>
        <v>8.5455062999805875</v>
      </c>
      <c r="L53" s="73">
        <f t="shared" si="77"/>
        <v>8.4503306822273014</v>
      </c>
      <c r="M53" s="73">
        <f t="shared" si="77"/>
        <v>8.3551550644740153</v>
      </c>
      <c r="N53" s="73">
        <f t="shared" si="77"/>
        <v>8.259979446720731</v>
      </c>
      <c r="O53" s="73">
        <f t="shared" si="77"/>
        <v>8.259979446720731</v>
      </c>
      <c r="P53" s="73">
        <f t="shared" si="77"/>
        <v>8.259979446720731</v>
      </c>
      <c r="Q53" s="73">
        <f t="shared" si="77"/>
        <v>8.259979446720731</v>
      </c>
      <c r="R53" s="54" t="s">
        <v>1775</v>
      </c>
      <c r="S53" s="717">
        <v>3</v>
      </c>
      <c r="T53" s="377">
        <v>1</v>
      </c>
      <c r="U53" s="377">
        <v>3</v>
      </c>
      <c r="V53" s="377">
        <v>2</v>
      </c>
      <c r="W53" s="377">
        <v>1</v>
      </c>
      <c r="AA53" s="17" t="s">
        <v>885</v>
      </c>
      <c r="AB53" s="195" cm="1">
        <f t="array" ref="AB53">AVERAGE(_xlfn._xlws.FILTER('Autonomie 2023 LDV'!$AH:$AH, ('Autonomie 2023 LDV'!$A:$A=$AA53)*('Autonomie 2023 LDV'!$B:$B=AB$3)*('Autonomie 2023 LDV'!$D:$D="Midsize SUV")))</f>
        <v>43875.793986957047</v>
      </c>
      <c r="AC53" s="195" cm="1">
        <f t="array" ref="AC53">AVERAGE(_xlfn._xlws.FILTER('Autonomie 2023 LDV'!$AH:$AH, ('Autonomie 2023 LDV'!$A:$A=$AA53)*('Autonomie 2023 LDV'!$B:$B=AC$3)*('Autonomie 2023 LDV'!$D:$D="Midsize SUV")))</f>
        <v>40044.595678983344</v>
      </c>
      <c r="AD53" s="195" cm="1">
        <f t="array" ref="AD53">AVERAGE(_xlfn._xlws.FILTER('Autonomie 2023 LDV'!$AH:$AH, ('Autonomie 2023 LDV'!$A:$A=$AA53)*('Autonomie 2023 LDV'!$B:$B=AD$3)*('Autonomie 2023 LDV'!$D:$D="Midsize SUV")))</f>
        <v>36136.658566959413</v>
      </c>
      <c r="AE53" s="195" cm="1">
        <f t="array" ref="AE53">AVERAGE(_xlfn._xlws.FILTER('Autonomie 2023 LDV'!$AH:$AH, ('Autonomie 2023 LDV'!$A:$A=$AA53)*('Autonomie 2023 LDV'!$B:$B=AE$3)*('Autonomie 2023 LDV'!$D:$D="Midsize SUV")))</f>
        <v>32601.731868471365</v>
      </c>
      <c r="AF53" s="195">
        <f t="shared" si="71"/>
        <v>31199.948184298508</v>
      </c>
      <c r="AG53" s="195">
        <f t="shared" si="72"/>
        <v>29798.164500125651</v>
      </c>
      <c r="AH53" s="195" cm="1">
        <f t="array" ref="AH53">AVERAGE(_xlfn._xlws.FILTER('Autonomie 2023 LDV'!$AH:$AH, ('Autonomie 2023 LDV'!$A:$A=$AA53)*('Autonomie 2023 LDV'!$B:$B=AH$3)*('Autonomie 2023 LDV'!$D:$D="Midsize SUV")))</f>
        <v>28396.380815952791</v>
      </c>
      <c r="AI53" s="85">
        <f t="shared" si="70"/>
        <v>-0.35280075331755412</v>
      </c>
      <c r="AK53" s="381" t="s">
        <v>567</v>
      </c>
      <c r="AL53" s="406" cm="1">
        <f t="array" ref="AL53">SUMPRODUCT(_xlfn._xlws.FILTER('Autonomie 2023 MHDV'!$AL:$AL,('Autonomie 2023 MHDV'!$A:$A=$AK53)*('Autonomie 2023 MHDV'!$B:$B=AL$32)*('Autonomie 2023 MHDV'!$D:$D="School")), $AB$154:$AB$155)</f>
        <v>123969.07456268241</v>
      </c>
      <c r="AM53" s="406" cm="1">
        <f t="array" ref="AM53">SUMPRODUCT(_xlfn._xlws.FILTER('Autonomie 2023 MHDV'!$AL:$AL,('Autonomie 2023 MHDV'!$A:$A=$AK53)*('Autonomie 2023 MHDV'!$B:$B=AM$32)*('Autonomie 2023 MHDV'!$D:$D="School")), $AB$154:$AB$155)</f>
        <v>110628.66645142683</v>
      </c>
      <c r="AN53" s="406" cm="1">
        <f t="array" ref="AN53">SUMPRODUCT(_xlfn._xlws.FILTER('Autonomie 2023 MHDV'!$AL:$AL,('Autonomie 2023 MHDV'!$A:$A=$AK53)*('Autonomie 2023 MHDV'!$B:$B=AN$32)*('Autonomie 2023 MHDV'!$D:$D="School")), $AB$154:$AB$155)</f>
        <v>104370.67479635721</v>
      </c>
      <c r="AO53" s="406" cm="1">
        <f t="array" ref="AO53">SUMPRODUCT(_xlfn._xlws.FILTER('Autonomie 2023 MHDV'!$AL:$AL,('Autonomie 2023 MHDV'!$A:$A=$AK53)*('Autonomie 2023 MHDV'!$B:$B=AO$32)*('Autonomie 2023 MHDV'!$D:$D="School")), $AB$154:$AB$155)</f>
        <v>98540.914780278865</v>
      </c>
      <c r="AP53" s="406">
        <f t="shared" si="74"/>
        <v>96533.102864742628</v>
      </c>
      <c r="AQ53" s="406">
        <f t="shared" si="74"/>
        <v>94525.290949206392</v>
      </c>
      <c r="AR53" s="406" cm="1">
        <f t="array" ref="AR53">SUMPRODUCT(_xlfn._xlws.FILTER('Autonomie 2023 MHDV'!$AL:$AL,('Autonomie 2023 MHDV'!$A:$A=$AK53)*('Autonomie 2023 MHDV'!$B:$B=AR$32)*('Autonomie 2023 MHDV'!$D:$D="School")), $AB$154:$AB$155)</f>
        <v>92517.479033670155</v>
      </c>
      <c r="AS53" s="114">
        <f t="shared" si="75"/>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76"/>
        <v>-0.26363636363636356</v>
      </c>
    </row>
    <row r="54" spans="1:52" x14ac:dyDescent="0.25">
      <c r="A54" t="s">
        <v>1094</v>
      </c>
      <c r="B54" t="s">
        <v>95</v>
      </c>
      <c r="C54" t="s">
        <v>4050</v>
      </c>
      <c r="D54">
        <v>2023</v>
      </c>
      <c r="E54">
        <v>2023</v>
      </c>
      <c r="F54" t="s">
        <v>1781</v>
      </c>
      <c r="G54">
        <f t="shared" ref="G54:G74" si="78">USD2023_to_CAD2020</f>
        <v>1.1463657166123775</v>
      </c>
      <c r="H54">
        <v>2020</v>
      </c>
      <c r="I54" t="s">
        <v>1783</v>
      </c>
      <c r="J54" t="s">
        <v>1084</v>
      </c>
      <c r="K54" s="277">
        <f t="shared" ref="K54:Q54" si="79">K55*$AT$50</f>
        <v>77.540021257687656</v>
      </c>
      <c r="L54" s="73">
        <f t="shared" si="79"/>
        <v>78.245110589410828</v>
      </c>
      <c r="M54" s="73">
        <f t="shared" si="79"/>
        <v>78.920169466644737</v>
      </c>
      <c r="N54" s="73">
        <f t="shared" si="79"/>
        <v>79.043914616166305</v>
      </c>
      <c r="O54" s="73">
        <f t="shared" si="79"/>
        <v>79.201324389098843</v>
      </c>
      <c r="P54" s="73">
        <f t="shared" si="79"/>
        <v>79.358734162031354</v>
      </c>
      <c r="Q54" s="73">
        <f t="shared" si="79"/>
        <v>79.516143934963864</v>
      </c>
      <c r="R54" s="72" t="s">
        <v>4058</v>
      </c>
      <c r="S54" s="717">
        <v>3</v>
      </c>
      <c r="T54" s="377">
        <v>1</v>
      </c>
      <c r="U54" s="377">
        <v>1</v>
      </c>
      <c r="V54" s="377">
        <v>3</v>
      </c>
      <c r="W54" s="377">
        <v>2</v>
      </c>
      <c r="AA54" s="17" t="s">
        <v>567</v>
      </c>
      <c r="AB54" s="195" cm="1">
        <f t="array" ref="AB54">AVERAGE(_xlfn._xlws.FILTER('Autonomie 2023 LDV'!$AH:$AH, ('Autonomie 2023 LDV'!$A:$A=$AA54)*('Autonomie 2023 LDV'!$B:$B=AB$3)*('Autonomie 2023 LDV'!$D:$D="Midsize SUV")))</f>
        <v>44327.855312209773</v>
      </c>
      <c r="AC54" s="195" cm="1">
        <f t="array" ref="AC54">AVERAGE(_xlfn._xlws.FILTER('Autonomie 2023 LDV'!$AH:$AH, ('Autonomie 2023 LDV'!$A:$A=$AA54)*('Autonomie 2023 LDV'!$B:$B=AC$3)*('Autonomie 2023 LDV'!$D:$D="Midsize SUV")))</f>
        <v>41409.265268273492</v>
      </c>
      <c r="AD54" s="195" cm="1">
        <f t="array" ref="AD54">AVERAGE(_xlfn._xlws.FILTER('Autonomie 2023 LDV'!$AH:$AH, ('Autonomie 2023 LDV'!$A:$A=$AA54)*('Autonomie 2023 LDV'!$B:$B=AD$3)*('Autonomie 2023 LDV'!$D:$D="Midsize SUV")))</f>
        <v>34363.358872769262</v>
      </c>
      <c r="AE54" s="195" cm="1">
        <f t="array" ref="AE54">AVERAGE(_xlfn._xlws.FILTER('Autonomie 2023 LDV'!$AH:$AH, ('Autonomie 2023 LDV'!$A:$A=$AA54)*('Autonomie 2023 LDV'!$B:$B=AE$3)*('Autonomie 2023 LDV'!$D:$D="Midsize SUV")))</f>
        <v>32889.754079455066</v>
      </c>
      <c r="AF54" s="195">
        <f t="shared" si="71"/>
        <v>31554.034673174931</v>
      </c>
      <c r="AG54" s="195">
        <f t="shared" si="72"/>
        <v>30218.315266894795</v>
      </c>
      <c r="AH54" s="195" cm="1">
        <f t="array" ref="AH54">AVERAGE(_xlfn._xlws.FILTER('Autonomie 2023 LDV'!$AH:$AH, ('Autonomie 2023 LDV'!$A:$A=$AA54)*('Autonomie 2023 LDV'!$B:$B=AH$3)*('Autonomie 2023 LDV'!$D:$D="Midsize SUV")))</f>
        <v>28882.595860614663</v>
      </c>
      <c r="AI54" s="85">
        <f t="shared" si="70"/>
        <v>-0.34843236476953643</v>
      </c>
      <c r="AK54" s="381" t="s">
        <v>929</v>
      </c>
      <c r="AL54" s="406" cm="1">
        <f t="array" ref="AL54">SUMPRODUCT(_xlfn._xlws.FILTER('Autonomie 2023 MHDV'!$AL:$AL,('Autonomie 2023 MHDV'!$A:$A=$AK54)*('Autonomie 2023 MHDV'!$B:$B=AL$32)*('Autonomie 2023 MHDV'!$D:$D="School")), $AB$154:$AB$155)</f>
        <v>116959.53124093976</v>
      </c>
      <c r="AM54" s="406" cm="1">
        <f t="array" ref="AM54">SUMPRODUCT(_xlfn._xlws.FILTER('Autonomie 2023 MHDV'!$AL:$AL,('Autonomie 2023 MHDV'!$A:$A=$AK54)*('Autonomie 2023 MHDV'!$B:$B=AM$32)*('Autonomie 2023 MHDV'!$D:$D="School")), $AB$154:$AB$155)</f>
        <v>105929.21375800819</v>
      </c>
      <c r="AN54" s="406" cm="1">
        <f t="array" ref="AN54">SUMPRODUCT(_xlfn._xlws.FILTER('Autonomie 2023 MHDV'!$AL:$AL,('Autonomie 2023 MHDV'!$A:$A=$AK54)*('Autonomie 2023 MHDV'!$B:$B=AN$32)*('Autonomie 2023 MHDV'!$D:$D="School")), $AB$154:$AB$155)</f>
        <v>98361.39677520399</v>
      </c>
      <c r="AO54" s="406" cm="1">
        <f t="array" ref="AO54">SUMPRODUCT(_xlfn._xlws.FILTER('Autonomie 2023 MHDV'!$AL:$AL,('Autonomie 2023 MHDV'!$A:$A=$AK54)*('Autonomie 2023 MHDV'!$B:$B=AO$32)*('Autonomie 2023 MHDV'!$D:$D="School")), $AB$154:$AB$155)</f>
        <v>93161.242451175523</v>
      </c>
      <c r="AP54" s="406">
        <f t="shared" si="74"/>
        <v>90625.175058952096</v>
      </c>
      <c r="AQ54" s="406">
        <f t="shared" si="74"/>
        <v>88089.107666728669</v>
      </c>
      <c r="AR54" s="406" cm="1">
        <f t="array" ref="AR54">SUMPRODUCT(_xlfn._xlws.FILTER('Autonomie 2023 MHDV'!$AL:$AL,('Autonomie 2023 MHDV'!$A:$A=$AK54)*('Autonomie 2023 MHDV'!$B:$B=AR$32)*('Autonomie 2023 MHDV'!$D:$D="School")), $AB$154:$AB$155)</f>
        <v>85553.040274505256</v>
      </c>
      <c r="AS54" s="114">
        <f t="shared" si="75"/>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76"/>
        <v>-0.14136125654450271</v>
      </c>
    </row>
    <row r="55" spans="1:52" ht="15.75" thickBot="1" x14ac:dyDescent="0.3">
      <c r="A55" t="s">
        <v>1095</v>
      </c>
      <c r="B55" t="s">
        <v>95</v>
      </c>
      <c r="C55" t="s">
        <v>4050</v>
      </c>
      <c r="D55">
        <v>2023</v>
      </c>
      <c r="E55">
        <v>2023</v>
      </c>
      <c r="F55" t="s">
        <v>1781</v>
      </c>
      <c r="G55">
        <f t="shared" si="78"/>
        <v>1.1463657166123775</v>
      </c>
      <c r="H55">
        <v>2020</v>
      </c>
      <c r="I55" t="s">
        <v>1783</v>
      </c>
      <c r="J55" t="s">
        <v>1084</v>
      </c>
      <c r="K55" s="277">
        <f t="shared" ref="K55:Q55" si="80">AL49*1000/1000000</f>
        <v>84.00168969582829</v>
      </c>
      <c r="L55" s="73">
        <f t="shared" si="80"/>
        <v>84.765536471861722</v>
      </c>
      <c r="M55" s="73">
        <f t="shared" si="80"/>
        <v>85.496850255531797</v>
      </c>
      <c r="N55" s="73">
        <f t="shared" si="80"/>
        <v>85.630907500846831</v>
      </c>
      <c r="O55" s="73">
        <f t="shared" si="80"/>
        <v>85.80143475485707</v>
      </c>
      <c r="P55" s="73">
        <f t="shared" si="80"/>
        <v>85.971962008867294</v>
      </c>
      <c r="Q55" s="73">
        <f t="shared" si="80"/>
        <v>86.142489262877518</v>
      </c>
      <c r="R55" s="72" t="s">
        <v>4059</v>
      </c>
      <c r="S55" s="717">
        <v>3</v>
      </c>
      <c r="T55" s="377">
        <v>1</v>
      </c>
      <c r="U55" s="377">
        <v>1</v>
      </c>
      <c r="V55" s="377">
        <v>3</v>
      </c>
      <c r="W55" s="377">
        <v>1</v>
      </c>
      <c r="AA55" s="17"/>
      <c r="AB55" s="195"/>
      <c r="AC55" s="195"/>
      <c r="AD55" s="195"/>
      <c r="AE55" s="195"/>
      <c r="AF55" s="195"/>
      <c r="AG55" s="195"/>
      <c r="AH55" s="195"/>
      <c r="AI55" s="85"/>
      <c r="AK55" s="379" t="s">
        <v>1117</v>
      </c>
      <c r="AS55" s="114"/>
      <c r="AT55" s="63"/>
      <c r="AV55" s="4" t="s">
        <v>1047</v>
      </c>
      <c r="AZ55" s="85"/>
    </row>
    <row r="56" spans="1:52" x14ac:dyDescent="0.25">
      <c r="A56" t="s">
        <v>1096</v>
      </c>
      <c r="B56" t="s">
        <v>95</v>
      </c>
      <c r="C56" t="s">
        <v>4050</v>
      </c>
      <c r="D56">
        <v>2023</v>
      </c>
      <c r="E56">
        <v>2023</v>
      </c>
      <c r="F56" t="s">
        <v>1781</v>
      </c>
      <c r="G56">
        <f t="shared" si="78"/>
        <v>1.1463657166123775</v>
      </c>
      <c r="H56">
        <v>2020</v>
      </c>
      <c r="I56" t="s">
        <v>1783</v>
      </c>
      <c r="J56" t="s">
        <v>1084</v>
      </c>
      <c r="K56" s="277">
        <f t="shared" ref="K56:Q56" si="81">K55*$AT$52</f>
        <v>109.20219660457678</v>
      </c>
      <c r="L56" s="73">
        <f t="shared" si="81"/>
        <v>110.19519741342025</v>
      </c>
      <c r="M56" s="73">
        <f t="shared" si="81"/>
        <v>111.14590533219133</v>
      </c>
      <c r="N56" s="73">
        <f t="shared" si="81"/>
        <v>111.32017975110088</v>
      </c>
      <c r="O56" s="73">
        <f t="shared" si="81"/>
        <v>111.54186518131419</v>
      </c>
      <c r="P56" s="73">
        <f t="shared" si="81"/>
        <v>111.76355061152749</v>
      </c>
      <c r="Q56" s="73">
        <f t="shared" si="81"/>
        <v>111.98523604174078</v>
      </c>
      <c r="R56" s="72" t="s">
        <v>4060</v>
      </c>
      <c r="S56" s="717">
        <v>3</v>
      </c>
      <c r="T56" s="377">
        <v>1</v>
      </c>
      <c r="U56" s="377">
        <v>1</v>
      </c>
      <c r="V56" s="377">
        <v>3</v>
      </c>
      <c r="W56" s="377">
        <v>2</v>
      </c>
      <c r="AA56" s="28" t="s">
        <v>3033</v>
      </c>
      <c r="AI56" s="85"/>
      <c r="AK56" s="381" t="s">
        <v>905</v>
      </c>
      <c r="AL56" s="406" cm="1">
        <f t="array" ref="AL56">AVERAGE(_xlfn._xlws.FILTER('Autonomie 2023 MHDV'!$AL:$AL,('Autonomie 2023 MHDV'!$A:$A=$AK56)*('Autonomie 2023 MHDV'!$B:$B=AL$32)*('Autonomie 2023 MHDV'!$D:$D="Transit")))</f>
        <v>225082.03026254065</v>
      </c>
      <c r="AM56" s="406" cm="1">
        <f t="array" ref="AM56">AVERAGE(_xlfn._xlws.FILTER('Autonomie 2023 MHDV'!$AL:$AL,('Autonomie 2023 MHDV'!$A:$A=$AK56)*('Autonomie 2023 MHDV'!$B:$B=AM$32)*('Autonomie 2023 MHDV'!$D:$D="Transit")))</f>
        <v>226024.34288159604</v>
      </c>
      <c r="AN56" s="406" cm="1">
        <f t="array" ref="AN56">AVERAGE(_xlfn._xlws.FILTER('Autonomie 2023 MHDV'!$AL:$AL,('Autonomie 2023 MHDV'!$A:$A=$AK56)*('Autonomie 2023 MHDV'!$B:$B=AN$32)*('Autonomie 2023 MHDV'!$D:$D="Transit")))</f>
        <v>226975.8264263843</v>
      </c>
      <c r="AO56" s="406" cm="1">
        <f t="array" ref="AO56">AVERAGE(_xlfn._xlws.FILTER('Autonomie 2023 MHDV'!$AL:$AL,('Autonomie 2023 MHDV'!$A:$A=$AK56)*('Autonomie 2023 MHDV'!$B:$B=AO$32)*('Autonomie 2023 MHDV'!$D:$D="Transit")))</f>
        <v>227238.34417548854</v>
      </c>
      <c r="AP56" s="406">
        <f t="shared" ref="AP56:AQ61" si="82">($AR56-$AO56)/3 + AO56</f>
        <v>227490.16251123772</v>
      </c>
      <c r="AQ56" s="406">
        <f t="shared" si="82"/>
        <v>227741.9808469869</v>
      </c>
      <c r="AR56" s="406" cm="1">
        <f t="array" ref="AR56">AVERAGE(_xlfn._xlws.FILTER('Autonomie 2023 MHDV'!$AL:$AL,('Autonomie 2023 MHDV'!$A:$A=$AK56)*('Autonomie 2023 MHDV'!$B:$B=AR$32)*('Autonomie 2023 MHDV'!$D:$D="Transit")))</f>
        <v>227993.79918273608</v>
      </c>
      <c r="AS56" s="114">
        <f t="shared" ref="AS56:AS61" si="83">(AR56-AL56)/AL56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4">(AY56-AW56)/AW56</f>
        <v>-3.636363636363641E-2</v>
      </c>
    </row>
    <row r="57" spans="1:52" ht="15.75" thickBot="1" x14ac:dyDescent="0.3">
      <c r="A57" t="s">
        <v>1097</v>
      </c>
      <c r="B57" t="s">
        <v>95</v>
      </c>
      <c r="C57" t="s">
        <v>4050</v>
      </c>
      <c r="D57">
        <v>2023</v>
      </c>
      <c r="E57">
        <v>2023</v>
      </c>
      <c r="F57" t="s">
        <v>1781</v>
      </c>
      <c r="G57">
        <f t="shared" si="78"/>
        <v>1.1463657166123775</v>
      </c>
      <c r="H57">
        <v>2020</v>
      </c>
      <c r="I57" t="s">
        <v>1783</v>
      </c>
      <c r="J57" t="s">
        <v>1084</v>
      </c>
      <c r="K57" s="277">
        <f t="shared" ref="K57:Q61" si="85">AL50*1000/1000000</f>
        <v>94.628229958787614</v>
      </c>
      <c r="L57" s="73">
        <f t="shared" si="85"/>
        <v>94.876217980517538</v>
      </c>
      <c r="M57" s="73">
        <f t="shared" si="85"/>
        <v>93.865365995309901</v>
      </c>
      <c r="N57" s="73">
        <f t="shared" si="85"/>
        <v>93.519589652027648</v>
      </c>
      <c r="O57" s="73">
        <f t="shared" si="85"/>
        <v>93.376274358059121</v>
      </c>
      <c r="P57" s="73">
        <f t="shared" si="85"/>
        <v>93.232959064090579</v>
      </c>
      <c r="Q57" s="73">
        <f t="shared" si="85"/>
        <v>93.089643770122052</v>
      </c>
      <c r="R57" s="72" t="s">
        <v>4059</v>
      </c>
      <c r="S57" s="717">
        <v>3</v>
      </c>
      <c r="T57" s="377">
        <v>1</v>
      </c>
      <c r="U57" s="377">
        <v>1</v>
      </c>
      <c r="V57" s="377">
        <v>3</v>
      </c>
      <c r="W57" s="377">
        <v>1</v>
      </c>
      <c r="AA57" s="17" t="s">
        <v>890</v>
      </c>
      <c r="AB57" s="195" cm="1">
        <f t="array" ref="AB57">AVERAGE(_xlfn._xlws.FILTER('Autonomie 2023 LDV'!$AH:$AH, ('Autonomie 2023 LDV'!$A:$A=$AA57)*('Autonomie 2023 LDV'!$B:$B=AB$3)*('Autonomie 2023 LDV'!$D:$D="Pickup")))</f>
        <v>26935.345980368656</v>
      </c>
      <c r="AC57" s="195" cm="1">
        <f t="array" ref="AC57">AVERAGE(_xlfn._xlws.FILTER('Autonomie 2023 LDV'!$AH:$AH, ('Autonomie 2023 LDV'!$A:$A=$AA57)*('Autonomie 2023 LDV'!$B:$B=AC$3)*('Autonomie 2023 LDV'!$D:$D="Pickup")))</f>
        <v>26935.7732524001</v>
      </c>
      <c r="AD57" s="195" cm="1">
        <f t="array" ref="AD57">AVERAGE(_xlfn._xlws.FILTER('Autonomie 2023 LDV'!$AH:$AH, ('Autonomie 2023 LDV'!$A:$A=$AA57)*('Autonomie 2023 LDV'!$B:$B=AD$3)*('Autonomie 2023 LDV'!$D:$D="Pickup")))</f>
        <v>26962.78670344585</v>
      </c>
      <c r="AE57" s="195" cm="1">
        <f t="array" ref="AE57">AVERAGE(_xlfn._xlws.FILTER('Autonomie 2023 LDV'!$AH:$AH, ('Autonomie 2023 LDV'!$A:$A=$AA57)*('Autonomie 2023 LDV'!$B:$B=AE$3)*('Autonomie 2023 LDV'!$D:$D="Pickup")))</f>
        <v>28194.836587822818</v>
      </c>
      <c r="AF57" s="195">
        <f>($AH57-$AE57)/3 + AE57</f>
        <v>28157.497433984434</v>
      </c>
      <c r="AG57" s="195">
        <f t="shared" ref="AG57" si="86">($AH57-$AE57)/3 + AF57</f>
        <v>28120.15828014605</v>
      </c>
      <c r="AH57" s="195" cm="1">
        <f t="array" ref="AH57">AVERAGE(_xlfn._xlws.FILTER('Autonomie 2023 LDV'!$AH:$AH, ('Autonomie 2023 LDV'!$A:$A=$AA57)*('Autonomie 2023 LDV'!$B:$B=AH$3)*('Autonomie 2023 LDV'!$D:$D="Pickup")))</f>
        <v>28082.81912630767</v>
      </c>
      <c r="AI57" s="85">
        <f t="shared" ref="AI57:AI67" si="87">(AH57-AB57)/AB57</f>
        <v>4.2601017517106647E-2</v>
      </c>
      <c r="AK57" s="381" t="s">
        <v>907</v>
      </c>
      <c r="AL57" s="406" cm="1">
        <f t="array" ref="AL57">AVERAGE(_xlfn._xlws.FILTER('Autonomie 2023 MHDV'!$AL:$AL,('Autonomie 2023 MHDV'!$A:$A=$AK57)*('Autonomie 2023 MHDV'!$B:$B=AL$32)*('Autonomie 2023 MHDV'!$D:$D="Transit")))</f>
        <v>244331.80337589569</v>
      </c>
      <c r="AM57" s="406" cm="1">
        <f t="array" ref="AM57">AVERAGE(_xlfn._xlws.FILTER('Autonomie 2023 MHDV'!$AL:$AL,('Autonomie 2023 MHDV'!$A:$A=$AK57)*('Autonomie 2023 MHDV'!$B:$B=AM$32)*('Autonomie 2023 MHDV'!$D:$D="Transit")))</f>
        <v>244362.75525024423</v>
      </c>
      <c r="AN57" s="406" cm="1">
        <f t="array" ref="AN57">AVERAGE(_xlfn._xlws.FILTER('Autonomie 2023 MHDV'!$AL:$AL,('Autonomie 2023 MHDV'!$A:$A=$AK57)*('Autonomie 2023 MHDV'!$B:$B=AN$32)*('Autonomie 2023 MHDV'!$D:$D="Transit")))</f>
        <v>241876.28801091199</v>
      </c>
      <c r="AO57" s="406" cm="1">
        <f t="array" ref="AO57">AVERAGE(_xlfn._xlws.FILTER('Autonomie 2023 MHDV'!$AL:$AL,('Autonomie 2023 MHDV'!$A:$A=$AK57)*('Autonomie 2023 MHDV'!$B:$B=AO$32)*('Autonomie 2023 MHDV'!$D:$D="Transit")))</f>
        <v>239550.31197190547</v>
      </c>
      <c r="AP57" s="406">
        <f t="shared" si="82"/>
        <v>239572.47504242664</v>
      </c>
      <c r="AQ57" s="406">
        <f t="shared" si="82"/>
        <v>239594.63811294781</v>
      </c>
      <c r="AR57" s="406" cm="1">
        <f t="array" ref="AR57">AVERAGE(_xlfn._xlws.FILTER('Autonomie 2023 MHDV'!$AL:$AL,('Autonomie 2023 MHDV'!$A:$A=$AK57)*('Autonomie 2023 MHDV'!$B:$B=AR$32)*('Autonomie 2023 MHDV'!$D:$D="Transit")))</f>
        <v>239616.80118346898</v>
      </c>
      <c r="AS57" s="114">
        <f t="shared" si="83"/>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4"/>
        <v>-0.65563725490196079</v>
      </c>
    </row>
    <row r="58" spans="1:52" x14ac:dyDescent="0.25">
      <c r="A58" t="s">
        <v>1098</v>
      </c>
      <c r="B58" t="s">
        <v>95</v>
      </c>
      <c r="C58" t="s">
        <v>4050</v>
      </c>
      <c r="D58">
        <v>2023</v>
      </c>
      <c r="E58">
        <v>2023</v>
      </c>
      <c r="F58" t="s">
        <v>1781</v>
      </c>
      <c r="G58">
        <f t="shared" si="78"/>
        <v>1.1463657166123775</v>
      </c>
      <c r="H58">
        <v>2020</v>
      </c>
      <c r="I58" t="s">
        <v>1783</v>
      </c>
      <c r="J58" t="s">
        <v>1084</v>
      </c>
      <c r="K58" s="277">
        <f t="shared" si="85"/>
        <v>154.39437500394214</v>
      </c>
      <c r="L58" s="73">
        <f t="shared" si="85"/>
        <v>138.22874956517427</v>
      </c>
      <c r="M58" s="73">
        <f t="shared" si="85"/>
        <v>121.43109643403811</v>
      </c>
      <c r="N58" s="73">
        <f t="shared" si="85"/>
        <v>111.53123747793849</v>
      </c>
      <c r="O58" s="73">
        <f t="shared" si="85"/>
        <v>107.24536366192812</v>
      </c>
      <c r="P58" s="73">
        <f t="shared" si="85"/>
        <v>102.95948984591774</v>
      </c>
      <c r="Q58" s="73">
        <f t="shared" si="85"/>
        <v>98.673616029907393</v>
      </c>
      <c r="R58" s="72" t="s">
        <v>4059</v>
      </c>
      <c r="S58" s="717">
        <v>3</v>
      </c>
      <c r="T58" s="377">
        <v>1</v>
      </c>
      <c r="U58" s="377">
        <v>1</v>
      </c>
      <c r="V58" s="377">
        <v>3</v>
      </c>
      <c r="W58" s="377">
        <v>1</v>
      </c>
      <c r="AA58" s="17" t="s">
        <v>887</v>
      </c>
      <c r="AB58" s="195" cm="1">
        <f t="array" ref="AB58">AVERAGE(_xlfn._xlws.FILTER('Autonomie 2023 LDV'!$AH:$AH, ('Autonomie 2023 LDV'!$A:$A=$AA58)*('Autonomie 2023 LDV'!$B:$B=AB$3)*('Autonomie 2023 LDV'!$D:$D="Pickup")))</f>
        <v>30955.835776847853</v>
      </c>
      <c r="AC58" s="195" cm="1">
        <f t="array" ref="AC58">AVERAGE(_xlfn._xlws.FILTER('Autonomie 2023 LDV'!$AH:$AH, ('Autonomie 2023 LDV'!$A:$A=$AA58)*('Autonomie 2023 LDV'!$B:$B=AC$3)*('Autonomie 2023 LDV'!$D:$D="Pickup")))</f>
        <v>30901.27897088242</v>
      </c>
      <c r="AD58" s="195" cm="1">
        <f t="array" ref="AD58">AVERAGE(_xlfn._xlws.FILTER('Autonomie 2023 LDV'!$AH:$AH, ('Autonomie 2023 LDV'!$A:$A=$AA58)*('Autonomie 2023 LDV'!$B:$B=AD$3)*('Autonomie 2023 LDV'!$D:$D="Pickup")))</f>
        <v>30956.890666964668</v>
      </c>
      <c r="AE58" s="195" cm="1">
        <f t="array" ref="AE58">AVERAGE(_xlfn._xlws.FILTER('Autonomie 2023 LDV'!$AH:$AH, ('Autonomie 2023 LDV'!$A:$A=$AA58)*('Autonomie 2023 LDV'!$B:$B=AE$3)*('Autonomie 2023 LDV'!$D:$D="Pickup")))</f>
        <v>30978.485653915894</v>
      </c>
      <c r="AF58" s="195">
        <f t="shared" ref="AF58:AF67" si="88">($AH58-$AE58)/3 + AE58</f>
        <v>30941.086309400995</v>
      </c>
      <c r="AG58" s="195">
        <f t="shared" ref="AG58:AG67" si="89">($AH58-$AE58)/3 + AF58</f>
        <v>30903.686964886096</v>
      </c>
      <c r="AH58" s="195" cm="1">
        <f t="array" ref="AH58">AVERAGE(_xlfn._xlws.FILTER('Autonomie 2023 LDV'!$AH:$AH, ('Autonomie 2023 LDV'!$A:$A=$AA58)*('Autonomie 2023 LDV'!$B:$B=AH$3)*('Autonomie 2023 LDV'!$D:$D="Pickup")))</f>
        <v>30866.2876203712</v>
      </c>
      <c r="AI58" s="85">
        <f t="shared" si="87"/>
        <v>-2.8927714025290905E-3</v>
      </c>
      <c r="AK58" s="381" t="s">
        <v>908</v>
      </c>
      <c r="AL58" s="406" cm="1">
        <f t="array" ref="AL58">AVERAGE(_xlfn._xlws.FILTER('Autonomie 2023 MHDV'!$AL:$AL,('Autonomie 2023 MHDV'!$A:$A=$AK58)*('Autonomie 2023 MHDV'!$B:$B=AL$32)*('Autonomie 2023 MHDV'!$D:$D="Transit")))</f>
        <v>385092.90335301292</v>
      </c>
      <c r="AM58" s="406" cm="1">
        <f t="array" ref="AM58">AVERAGE(_xlfn._xlws.FILTER('Autonomie 2023 MHDV'!$AL:$AL,('Autonomie 2023 MHDV'!$A:$A=$AK58)*('Autonomie 2023 MHDV'!$B:$B=AM$32)*('Autonomie 2023 MHDV'!$D:$D="Transit")))</f>
        <v>348871.1858052116</v>
      </c>
      <c r="AN58" s="406" cm="1">
        <f t="array" ref="AN58">AVERAGE(_xlfn._xlws.FILTER('Autonomie 2023 MHDV'!$AL:$AL,('Autonomie 2023 MHDV'!$A:$A=$AK58)*('Autonomie 2023 MHDV'!$B:$B=AN$32)*('Autonomie 2023 MHDV'!$D:$D="Transit")))</f>
        <v>311751.86390130286</v>
      </c>
      <c r="AO58" s="406" cm="1">
        <f t="array" ref="AO58">AVERAGE(_xlfn._xlws.FILTER('Autonomie 2023 MHDV'!$AL:$AL,('Autonomie 2023 MHDV'!$A:$A=$AK58)*('Autonomie 2023 MHDV'!$B:$B=AO$32)*('Autonomie 2023 MHDV'!$D:$D="Transit")))</f>
        <v>290350.36233786639</v>
      </c>
      <c r="AP58" s="406">
        <f t="shared" si="82"/>
        <v>280244.38430211722</v>
      </c>
      <c r="AQ58" s="406">
        <f t="shared" si="82"/>
        <v>270138.40626636805</v>
      </c>
      <c r="AR58" s="406" cm="1">
        <f t="array" ref="AR58">AVERAGE(_xlfn._xlws.FILTER('Autonomie 2023 MHDV'!$AL:$AL,('Autonomie 2023 MHDV'!$A:$A=$AK58)*('Autonomie 2023 MHDV'!$B:$B=AR$32)*('Autonomie 2023 MHDV'!$D:$D="Transit")))</f>
        <v>260032.42823061883</v>
      </c>
      <c r="AS58" s="114">
        <f t="shared" si="83"/>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4"/>
        <v>-0.53367875647668406</v>
      </c>
    </row>
    <row r="59" spans="1:52" ht="15.75" thickBot="1" x14ac:dyDescent="0.3">
      <c r="A59" t="s">
        <v>1099</v>
      </c>
      <c r="B59" t="s">
        <v>95</v>
      </c>
      <c r="C59" t="s">
        <v>4050</v>
      </c>
      <c r="D59">
        <v>2023</v>
      </c>
      <c r="E59">
        <v>2023</v>
      </c>
      <c r="F59" t="s">
        <v>1781</v>
      </c>
      <c r="G59">
        <f t="shared" si="78"/>
        <v>1.1463657166123775</v>
      </c>
      <c r="H59">
        <v>2020</v>
      </c>
      <c r="I59" t="s">
        <v>1783</v>
      </c>
      <c r="J59" t="s">
        <v>1084</v>
      </c>
      <c r="K59" s="277">
        <f t="shared" si="85"/>
        <v>151.95607391662494</v>
      </c>
      <c r="L59" s="73">
        <f t="shared" si="85"/>
        <v>134.53907451554616</v>
      </c>
      <c r="M59" s="73">
        <f t="shared" si="85"/>
        <v>113.70445256099917</v>
      </c>
      <c r="N59" s="73">
        <f t="shared" si="85"/>
        <v>102.83149698923827</v>
      </c>
      <c r="O59" s="73">
        <f t="shared" si="85"/>
        <v>97.859872191903136</v>
      </c>
      <c r="P59" s="73">
        <f t="shared" si="85"/>
        <v>92.888247394567969</v>
      </c>
      <c r="Q59" s="73">
        <f t="shared" si="85"/>
        <v>87.916622597232816</v>
      </c>
      <c r="R59" s="72" t="s">
        <v>4059</v>
      </c>
      <c r="S59" s="717">
        <v>3</v>
      </c>
      <c r="T59" s="377">
        <v>1</v>
      </c>
      <c r="U59" s="377">
        <v>1</v>
      </c>
      <c r="V59" s="377">
        <v>3</v>
      </c>
      <c r="W59" s="377">
        <v>1</v>
      </c>
      <c r="AA59" s="17" t="s">
        <v>889</v>
      </c>
      <c r="AB59" s="195" cm="1">
        <f t="array" ref="AB59">AVERAGE(_xlfn._xlws.FILTER('Autonomie 2023 LDV'!$AH:$AH, ('Autonomie 2023 LDV'!$A:$A=$AA59)*('Autonomie 2023 LDV'!$B:$B=AB$3)*('Autonomie 2023 LDV'!$D:$D="Pickup")))</f>
        <v>32212.336831717355</v>
      </c>
      <c r="AC59" s="195" cm="1">
        <f t="array" ref="AC59">AVERAGE(_xlfn._xlws.FILTER('Autonomie 2023 LDV'!$AH:$AH, ('Autonomie 2023 LDV'!$A:$A=$AA59)*('Autonomie 2023 LDV'!$B:$B=AC$3)*('Autonomie 2023 LDV'!$D:$D="Pickup")))</f>
        <v>32149.748936267508</v>
      </c>
      <c r="AD59" s="195" cm="1">
        <f t="array" ref="AD59">AVERAGE(_xlfn._xlws.FILTER('Autonomie 2023 LDV'!$AH:$AH, ('Autonomie 2023 LDV'!$A:$A=$AA59)*('Autonomie 2023 LDV'!$B:$B=AD$3)*('Autonomie 2023 LDV'!$D:$D="Pickup")))</f>
        <v>32181.667814214972</v>
      </c>
      <c r="AE59" s="195" cm="1">
        <f t="array" ref="AE59">AVERAGE(_xlfn._xlws.FILTER('Autonomie 2023 LDV'!$AH:$AH, ('Autonomie 2023 LDV'!$A:$A=$AA59)*('Autonomie 2023 LDV'!$B:$B=AE$3)*('Autonomie 2023 LDV'!$D:$D="Pickup")))</f>
        <v>32223.935250469309</v>
      </c>
      <c r="AF59" s="195">
        <f t="shared" si="88"/>
        <v>32186.515087103082</v>
      </c>
      <c r="AG59" s="195">
        <f t="shared" si="89"/>
        <v>32149.094923736855</v>
      </c>
      <c r="AH59" s="195" cm="1">
        <f t="array" ref="AH59">AVERAGE(_xlfn._xlws.FILTER('Autonomie 2023 LDV'!$AH:$AH, ('Autonomie 2023 LDV'!$A:$A=$AA59)*('Autonomie 2023 LDV'!$B:$B=AH$3)*('Autonomie 2023 LDV'!$D:$D="Pickup")))</f>
        <v>32111.674760370628</v>
      </c>
      <c r="AI59" s="85">
        <f t="shared" si="87"/>
        <v>-3.1249540159909179E-3</v>
      </c>
      <c r="AK59" s="381" t="s">
        <v>247</v>
      </c>
      <c r="AL59" s="406" cm="1">
        <f t="array" ref="AL59">AVERAGE(_xlfn._xlws.FILTER('Autonomie 2023 MHDV'!$AL:$AL,('Autonomie 2023 MHDV'!$A:$A=$AK59)*('Autonomie 2023 MHDV'!$B:$B=AL$32)*('Autonomie 2023 MHDV'!$D:$D="Transit")))</f>
        <v>414698.94435024419</v>
      </c>
      <c r="AM59" s="406" cm="1">
        <f t="array" ref="AM59">AVERAGE(_xlfn._xlws.FILTER('Autonomie 2023 MHDV'!$AL:$AL,('Autonomie 2023 MHDV'!$A:$A=$AK59)*('Autonomie 2023 MHDV'!$B:$B=AM$32)*('Autonomie 2023 MHDV'!$D:$D="Transit")))</f>
        <v>369776.31101335492</v>
      </c>
      <c r="AN59" s="406" cm="1">
        <f t="array" ref="AN59">AVERAGE(_xlfn._xlws.FILTER('Autonomie 2023 MHDV'!$AL:$AL,('Autonomie 2023 MHDV'!$A:$A=$AK59)*('Autonomie 2023 MHDV'!$B:$B=AN$32)*('Autonomie 2023 MHDV'!$D:$D="Transit")))</f>
        <v>321910.95688192174</v>
      </c>
      <c r="AO59" s="406" cm="1">
        <f t="array" ref="AO59">AVERAGE(_xlfn._xlws.FILTER('Autonomie 2023 MHDV'!$AL:$AL,('Autonomie 2023 MHDV'!$A:$A=$AK59)*('Autonomie 2023 MHDV'!$B:$B=AO$32)*('Autonomie 2023 MHDV'!$D:$D="Transit")))</f>
        <v>301107.85822255694</v>
      </c>
      <c r="AP59" s="406">
        <f t="shared" si="82"/>
        <v>288291.10738892504</v>
      </c>
      <c r="AQ59" s="406">
        <f t="shared" si="82"/>
        <v>275474.35655529314</v>
      </c>
      <c r="AR59" s="406" cm="1">
        <f t="array" ref="AR59">AVERAGE(_xlfn._xlws.FILTER('Autonomie 2023 MHDV'!$AL:$AL,('Autonomie 2023 MHDV'!$A:$A=$AK59)*('Autonomie 2023 MHDV'!$B:$B=AR$32)*('Autonomie 2023 MHDV'!$D:$D="Transit")))</f>
        <v>262657.60572166118</v>
      </c>
      <c r="AS59" s="114">
        <f t="shared" si="83"/>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4"/>
        <v>-6.6666666666666638E-2</v>
      </c>
    </row>
    <row r="60" spans="1:52" x14ac:dyDescent="0.25">
      <c r="A60" t="s">
        <v>1100</v>
      </c>
      <c r="B60" t="s">
        <v>95</v>
      </c>
      <c r="C60" t="s">
        <v>4050</v>
      </c>
      <c r="D60">
        <v>2023</v>
      </c>
      <c r="E60">
        <v>2023</v>
      </c>
      <c r="F60" t="s">
        <v>1781</v>
      </c>
      <c r="G60">
        <f t="shared" si="78"/>
        <v>1.1463657166123775</v>
      </c>
      <c r="H60">
        <v>2020</v>
      </c>
      <c r="I60" t="s">
        <v>1783</v>
      </c>
      <c r="J60" t="s">
        <v>1084</v>
      </c>
      <c r="K60" s="277">
        <f t="shared" si="85"/>
        <v>123.96907456268241</v>
      </c>
      <c r="L60" s="73">
        <f t="shared" si="85"/>
        <v>110.62866645142684</v>
      </c>
      <c r="M60" s="73">
        <f t="shared" si="85"/>
        <v>104.37067479635722</v>
      </c>
      <c r="N60" s="73">
        <f t="shared" si="85"/>
        <v>98.540914780278868</v>
      </c>
      <c r="O60" s="73">
        <f t="shared" si="85"/>
        <v>96.533102864742617</v>
      </c>
      <c r="P60" s="73">
        <f t="shared" si="85"/>
        <v>94.525290949206394</v>
      </c>
      <c r="Q60" s="73">
        <f t="shared" si="85"/>
        <v>92.517479033670156</v>
      </c>
      <c r="R60" s="72" t="s">
        <v>4059</v>
      </c>
      <c r="S60" s="717">
        <v>3</v>
      </c>
      <c r="T60" s="377">
        <v>1</v>
      </c>
      <c r="U60" s="377">
        <v>1</v>
      </c>
      <c r="V60" s="377">
        <v>3</v>
      </c>
      <c r="W60" s="377">
        <v>1</v>
      </c>
      <c r="AA60" s="17" t="s">
        <v>3001</v>
      </c>
      <c r="AB60" s="195" cm="1">
        <f t="array" ref="AB60">AVERAGE(_xlfn._xlws.FILTER('Autonomie 2023 LDV'!$AH:$AH, ('Autonomie 2023 LDV'!$A:$A=$AA60)*('Autonomie 2023 LDV'!$B:$B=AB$3)*('Autonomie 2023 LDV'!$D:$D="Pickup")))</f>
        <v>32129.91150436203</v>
      </c>
      <c r="AC60" s="195" cm="1">
        <f t="array" ref="AC60">AVERAGE(_xlfn._xlws.FILTER('Autonomie 2023 LDV'!$AH:$AH, ('Autonomie 2023 LDV'!$A:$A=$AA60)*('Autonomie 2023 LDV'!$B:$B=AC$3)*('Autonomie 2023 LDV'!$D:$D="Pickup")))</f>
        <v>30902.075954917771</v>
      </c>
      <c r="AD60" s="195" cm="1">
        <f t="array" ref="AD60">AVERAGE(_xlfn._xlws.FILTER('Autonomie 2023 LDV'!$AH:$AH, ('Autonomie 2023 LDV'!$A:$A=$AA60)*('Autonomie 2023 LDV'!$B:$B=AD$3)*('Autonomie 2023 LDV'!$D:$D="Pickup")))</f>
        <v>29725.836338367433</v>
      </c>
      <c r="AE60" s="195" cm="1">
        <f t="array" ref="AE60">AVERAGE(_xlfn._xlws.FILTER('Autonomie 2023 LDV'!$AH:$AH, ('Autonomie 2023 LDV'!$A:$A=$AA60)*('Autonomie 2023 LDV'!$B:$B=AE$3)*('Autonomie 2023 LDV'!$D:$D="Pickup")))</f>
        <v>29050.814441998016</v>
      </c>
      <c r="AF60" s="195">
        <f t="shared" si="88"/>
        <v>28604.543016641273</v>
      </c>
      <c r="AG60" s="195">
        <f t="shared" si="89"/>
        <v>28158.271591284531</v>
      </c>
      <c r="AH60" s="195" cm="1">
        <f t="array" ref="AH60">AVERAGE(_xlfn._xlws.FILTER('Autonomie 2023 LDV'!$AH:$AH, ('Autonomie 2023 LDV'!$A:$A=$AA60)*('Autonomie 2023 LDV'!$B:$B=AH$3)*('Autonomie 2023 LDV'!$D:$D="Pickup")))</f>
        <v>27712.000165927784</v>
      </c>
      <c r="AI60" s="85">
        <f t="shared" si="87"/>
        <v>-0.13750150970177616</v>
      </c>
      <c r="AK60" s="381" t="s">
        <v>567</v>
      </c>
      <c r="AL60" s="406" cm="1">
        <f t="array" ref="AL60">AVERAGE(_xlfn._xlws.FILTER('Autonomie 2023 MHDV'!$AL:$AL,('Autonomie 2023 MHDV'!$A:$A=$AK60)*('Autonomie 2023 MHDV'!$B:$B=AL$32)*('Autonomie 2023 MHDV'!$D:$D="Transit")))</f>
        <v>289996.13533143315</v>
      </c>
      <c r="AM60" s="406" cm="1">
        <f t="array" ref="AM60">AVERAGE(_xlfn._xlws.FILTER('Autonomie 2023 MHDV'!$AL:$AL,('Autonomie 2023 MHDV'!$A:$A=$AK60)*('Autonomie 2023 MHDV'!$B:$B=AM$32)*('Autonomie 2023 MHDV'!$D:$D="Transit")))</f>
        <v>270739.48402377841</v>
      </c>
      <c r="AN60" s="406" cm="1">
        <f t="array" ref="AN60">AVERAGE(_xlfn._xlws.FILTER('Autonomie 2023 MHDV'!$AL:$AL,('Autonomie 2023 MHDV'!$A:$A=$AK60)*('Autonomie 2023 MHDV'!$B:$B=AN$32)*('Autonomie 2023 MHDV'!$D:$D="Transit")))</f>
        <v>261382.84704478818</v>
      </c>
      <c r="AO60" s="406" cm="1">
        <f t="array" ref="AO60">AVERAGE(_xlfn._xlws.FILTER('Autonomie 2023 MHDV'!$AL:$AL,('Autonomie 2023 MHDV'!$A:$A=$AK60)*('Autonomie 2023 MHDV'!$B:$B=AO$32)*('Autonomie 2023 MHDV'!$D:$D="Transit")))</f>
        <v>253647.17118908788</v>
      </c>
      <c r="AP60" s="406">
        <f t="shared" si="82"/>
        <v>250159.16243534195</v>
      </c>
      <c r="AQ60" s="406">
        <f t="shared" si="82"/>
        <v>246671.15368159601</v>
      </c>
      <c r="AR60" s="406" cm="1">
        <f t="array" ref="AR60">AVERAGE(_xlfn._xlws.FILTER('Autonomie 2023 MHDV'!$AL:$AL,('Autonomie 2023 MHDV'!$A:$A=$AK60)*('Autonomie 2023 MHDV'!$B:$B=AR$32)*('Autonomie 2023 MHDV'!$D:$D="Transit")))</f>
        <v>243183.14492785008</v>
      </c>
      <c r="AS60" s="114">
        <f t="shared" si="83"/>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4"/>
        <v>-0.33852140077821008</v>
      </c>
    </row>
    <row r="61" spans="1:52" x14ac:dyDescent="0.25">
      <c r="A61" t="s">
        <v>1101</v>
      </c>
      <c r="B61" t="s">
        <v>95</v>
      </c>
      <c r="C61" t="s">
        <v>4050</v>
      </c>
      <c r="D61">
        <v>2023</v>
      </c>
      <c r="E61">
        <v>2023</v>
      </c>
      <c r="F61" t="s">
        <v>1781</v>
      </c>
      <c r="G61">
        <f t="shared" si="78"/>
        <v>1.1463657166123775</v>
      </c>
      <c r="H61">
        <v>2020</v>
      </c>
      <c r="I61" t="s">
        <v>1783</v>
      </c>
      <c r="J61" t="s">
        <v>1084</v>
      </c>
      <c r="K61" s="277">
        <f t="shared" si="85"/>
        <v>116.95953124093977</v>
      </c>
      <c r="L61" s="73">
        <f t="shared" si="85"/>
        <v>105.9292137580082</v>
      </c>
      <c r="M61" s="73">
        <f t="shared" si="85"/>
        <v>98.361396775203985</v>
      </c>
      <c r="N61" s="73">
        <f t="shared" si="85"/>
        <v>93.161242451175525</v>
      </c>
      <c r="O61" s="73">
        <f t="shared" si="85"/>
        <v>90.625175058952095</v>
      </c>
      <c r="P61" s="73">
        <f t="shared" si="85"/>
        <v>88.08910766672868</v>
      </c>
      <c r="Q61" s="73">
        <f t="shared" si="85"/>
        <v>85.553040274505264</v>
      </c>
      <c r="R61" s="72" t="s">
        <v>4059</v>
      </c>
      <c r="S61" s="717">
        <v>3</v>
      </c>
      <c r="T61" s="377">
        <v>1</v>
      </c>
      <c r="U61" s="377">
        <v>1</v>
      </c>
      <c r="V61" s="377">
        <v>3</v>
      </c>
      <c r="W61" s="377">
        <v>1</v>
      </c>
      <c r="AA61" s="17" t="s">
        <v>4423</v>
      </c>
      <c r="AB61" s="195" cm="1">
        <f t="array" ref="AB61">AVERAGE(_xlfn._xlws.FILTER('Autonomie 2023 LDV'!$AH:$AH, ('Autonomie 2023 LDV'!$A:$A=$AA61)*('Autonomie 2023 LDV'!$B:$B=AB$3)*('Autonomie 2023 LDV'!$D:$D="Pickup")))</f>
        <v>34730.553279645232</v>
      </c>
      <c r="AC61" s="195" cm="1">
        <f t="array" ref="AC61">AVERAGE(_xlfn._xlws.FILTER('Autonomie 2023 LDV'!$AH:$AH, ('Autonomie 2023 LDV'!$A:$A=$AA61)*('Autonomie 2023 LDV'!$B:$B=AC$3)*('Autonomie 2023 LDV'!$D:$D="Pickup")))</f>
        <v>33639.33006295385</v>
      </c>
      <c r="AD61" s="195" cm="1">
        <f t="array" ref="AD61">AVERAGE(_xlfn._xlws.FILTER('Autonomie 2023 LDV'!$AH:$AH, ('Autonomie 2023 LDV'!$A:$A=$AA61)*('Autonomie 2023 LDV'!$B:$B=AD$3)*('Autonomie 2023 LDV'!$D:$D="Pickup")))</f>
        <v>32839.631524408927</v>
      </c>
      <c r="AE61" s="195" cm="1">
        <f t="array" ref="AE61">AVERAGE(_xlfn._xlws.FILTER('Autonomie 2023 LDV'!$AH:$AH, ('Autonomie 2023 LDV'!$A:$A=$AA61)*('Autonomie 2023 LDV'!$B:$B=AE$3)*('Autonomie 2023 LDV'!$D:$D="Pickup")))</f>
        <v>33068.639784443003</v>
      </c>
      <c r="AF61" s="195">
        <f t="shared" si="88"/>
        <v>32654.003282278925</v>
      </c>
      <c r="AG61" s="195">
        <f t="shared" si="89"/>
        <v>32239.366780114848</v>
      </c>
      <c r="AH61" s="195" cm="1">
        <f t="array" ref="AH61">AVERAGE(_xlfn._xlws.FILTER('Autonomie 2023 LDV'!$AH:$AH, ('Autonomie 2023 LDV'!$A:$A=$AA61)*('Autonomie 2023 LDV'!$B:$B=AH$3)*('Autonomie 2023 LDV'!$D:$D="Pickup")))</f>
        <v>31824.730277950766</v>
      </c>
      <c r="AI61" s="85">
        <f t="shared" si="87"/>
        <v>-8.3667627702248573E-2</v>
      </c>
      <c r="AK61" s="381" t="s">
        <v>929</v>
      </c>
      <c r="AL61" s="406" cm="1">
        <f t="array" ref="AL61">AVERAGE(_xlfn._xlws.FILTER('Autonomie 2023 MHDV'!$AL:$AL,('Autonomie 2023 MHDV'!$A:$A=$AK61)*('Autonomie 2023 MHDV'!$B:$B=AL$32)*('Autonomie 2023 MHDV'!$D:$D="Transit")))</f>
        <v>266930.11074747547</v>
      </c>
      <c r="AM61" s="406" cm="1">
        <f t="array" ref="AM61">AVERAGE(_xlfn._xlws.FILTER('Autonomie 2023 MHDV'!$AL:$AL,('Autonomie 2023 MHDV'!$A:$A=$AK61)*('Autonomie 2023 MHDV'!$B:$B=AM$32)*('Autonomie 2023 MHDV'!$D:$D="Transit")))</f>
        <v>253400.70256001622</v>
      </c>
      <c r="AN61" s="406" cm="1">
        <f t="array" ref="AN61">AVERAGE(_xlfn._xlws.FILTER('Autonomie 2023 MHDV'!$AL:$AL,('Autonomie 2023 MHDV'!$A:$A=$AK61)*('Autonomie 2023 MHDV'!$B:$B=AN$32)*('Autonomie 2023 MHDV'!$D:$D="Transit")))</f>
        <v>244089.92020969049</v>
      </c>
      <c r="AO61" s="406" cm="1">
        <f t="array" ref="AO61">AVERAGE(_xlfn._xlws.FILTER('Autonomie 2023 MHDV'!$AL:$AL,('Autonomie 2023 MHDV'!$A:$A=$AK61)*('Autonomie 2023 MHDV'!$B:$B=AO$32)*('Autonomie 2023 MHDV'!$D:$D="Transit")))</f>
        <v>237279.36148729635</v>
      </c>
      <c r="AP61" s="406">
        <f t="shared" si="82"/>
        <v>234524.26254837128</v>
      </c>
      <c r="AQ61" s="406">
        <f t="shared" si="82"/>
        <v>231769.1636094462</v>
      </c>
      <c r="AR61" s="406" cm="1">
        <f t="array" ref="AR61">AVERAGE(_xlfn._xlws.FILTER('Autonomie 2023 MHDV'!$AL:$AL,('Autonomie 2023 MHDV'!$A:$A=$AK61)*('Autonomie 2023 MHDV'!$B:$B=AR$32)*('Autonomie 2023 MHDV'!$D:$D="Transit")))</f>
        <v>229014.0646705211</v>
      </c>
      <c r="AS61" s="114">
        <f t="shared" si="83"/>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4"/>
        <v>-0.18269230769230774</v>
      </c>
    </row>
    <row r="62" spans="1:52" x14ac:dyDescent="0.25">
      <c r="A62" t="s">
        <v>1102</v>
      </c>
      <c r="B62" t="s">
        <v>95</v>
      </c>
      <c r="C62" t="s">
        <v>4050</v>
      </c>
      <c r="D62">
        <v>2023</v>
      </c>
      <c r="E62">
        <v>2023</v>
      </c>
      <c r="F62" t="s">
        <v>1781</v>
      </c>
      <c r="G62">
        <f t="shared" si="78"/>
        <v>1.1463657166123775</v>
      </c>
      <c r="H62">
        <v>2020</v>
      </c>
      <c r="I62" t="s">
        <v>1783</v>
      </c>
      <c r="J62" t="s">
        <v>1084</v>
      </c>
      <c r="K62" s="277">
        <f t="shared" ref="K62:Q62" si="90">K63*$AT$57</f>
        <v>207.76802793465291</v>
      </c>
      <c r="L62" s="73">
        <f t="shared" si="90"/>
        <v>208.63785496762711</v>
      </c>
      <c r="M62" s="73">
        <f t="shared" si="90"/>
        <v>209.51614747050857</v>
      </c>
      <c r="N62" s="73">
        <f t="shared" si="90"/>
        <v>209.7584715466048</v>
      </c>
      <c r="O62" s="73">
        <f t="shared" si="90"/>
        <v>209.99091924114251</v>
      </c>
      <c r="P62" s="73">
        <f t="shared" si="90"/>
        <v>210.22336693568022</v>
      </c>
      <c r="Q62" s="73">
        <f t="shared" si="90"/>
        <v>210.45581463021793</v>
      </c>
      <c r="R62" s="72" t="s">
        <v>4061</v>
      </c>
      <c r="S62" s="717">
        <v>3</v>
      </c>
      <c r="T62" s="377">
        <v>1</v>
      </c>
      <c r="U62" s="377">
        <v>1</v>
      </c>
      <c r="V62" s="377">
        <v>3</v>
      </c>
      <c r="W62" s="377">
        <v>2</v>
      </c>
      <c r="AA62" s="17" t="s">
        <v>4424</v>
      </c>
      <c r="AB62" s="195" cm="1">
        <f t="array" ref="AB62">AVERAGE(_xlfn._xlws.FILTER('Autonomie 2023 LDV'!$AH:$AH, ('Autonomie 2023 LDV'!$A:$A=$AA62)*('Autonomie 2023 LDV'!$B:$B=AB$3)*('Autonomie 2023 LDV'!$D:$D="Pickup")))</f>
        <v>37182.00602894542</v>
      </c>
      <c r="AC62" s="195" cm="1">
        <f t="array" ref="AC62">AVERAGE(_xlfn._xlws.FILTER('Autonomie 2023 LDV'!$AH:$AH, ('Autonomie 2023 LDV'!$A:$A=$AA62)*('Autonomie 2023 LDV'!$B:$B=AC$3)*('Autonomie 2023 LDV'!$D:$D="Pickup")))</f>
        <v>35753.377523220122</v>
      </c>
      <c r="AD62" s="195" cm="1">
        <f t="array" ref="AD62">AVERAGE(_xlfn._xlws.FILTER('Autonomie 2023 LDV'!$AH:$AH, ('Autonomie 2023 LDV'!$A:$A=$AA62)*('Autonomie 2023 LDV'!$B:$B=AD$3)*('Autonomie 2023 LDV'!$D:$D="Pickup")))</f>
        <v>34567.035801088452</v>
      </c>
      <c r="AE62" s="195" cm="1">
        <f t="array" ref="AE62">AVERAGE(_xlfn._xlws.FILTER('Autonomie 2023 LDV'!$AH:$AH, ('Autonomie 2023 LDV'!$A:$A=$AA62)*('Autonomie 2023 LDV'!$B:$B=AE$3)*('Autonomie 2023 LDV'!$D:$D="Pickup")))</f>
        <v>34483.796280583461</v>
      </c>
      <c r="AF62" s="195">
        <f t="shared" si="88"/>
        <v>33957.545936515031</v>
      </c>
      <c r="AG62" s="195">
        <f t="shared" si="89"/>
        <v>33431.2955924466</v>
      </c>
      <c r="AH62" s="195" cm="1">
        <f t="array" ref="AH62">AVERAGE(_xlfn._xlws.FILTER('Autonomie 2023 LDV'!$AH:$AH, ('Autonomie 2023 LDV'!$A:$A=$AA62)*('Autonomie 2023 LDV'!$B:$B=AH$3)*('Autonomie 2023 LDV'!$D:$D="Pickup")))</f>
        <v>32905.045248378177</v>
      </c>
      <c r="AI62" s="85">
        <f t="shared" si="87"/>
        <v>-0.11502770391779607</v>
      </c>
      <c r="AK62" s="407" t="s">
        <v>4054</v>
      </c>
      <c r="AT62" s="63"/>
    </row>
    <row r="63" spans="1:52" x14ac:dyDescent="0.25">
      <c r="A63" t="s">
        <v>1103</v>
      </c>
      <c r="B63" t="s">
        <v>95</v>
      </c>
      <c r="C63" t="s">
        <v>4050</v>
      </c>
      <c r="D63">
        <v>2023</v>
      </c>
      <c r="E63">
        <v>2023</v>
      </c>
      <c r="F63" t="s">
        <v>1781</v>
      </c>
      <c r="G63">
        <f t="shared" si="78"/>
        <v>1.1463657166123775</v>
      </c>
      <c r="H63">
        <v>2020</v>
      </c>
      <c r="I63" t="s">
        <v>1783</v>
      </c>
      <c r="J63" t="s">
        <v>1084</v>
      </c>
      <c r="K63" s="277">
        <f t="shared" ref="K63:Q63" si="91">AL56*1000/1000000</f>
        <v>225.08203026254063</v>
      </c>
      <c r="L63" s="73">
        <f t="shared" si="91"/>
        <v>226.02434288159603</v>
      </c>
      <c r="M63" s="73">
        <f t="shared" si="91"/>
        <v>226.97582642638429</v>
      </c>
      <c r="N63" s="73">
        <f t="shared" si="91"/>
        <v>227.23834417548852</v>
      </c>
      <c r="O63" s="73">
        <f t="shared" si="91"/>
        <v>227.49016251123771</v>
      </c>
      <c r="P63" s="73">
        <f t="shared" si="91"/>
        <v>227.74198084698688</v>
      </c>
      <c r="Q63" s="73">
        <f t="shared" si="91"/>
        <v>227.99379918273607</v>
      </c>
      <c r="R63" s="72" t="s">
        <v>4062</v>
      </c>
      <c r="S63" s="717">
        <v>3</v>
      </c>
      <c r="T63" s="377">
        <v>1</v>
      </c>
      <c r="U63" s="377">
        <v>1</v>
      </c>
      <c r="V63" s="377">
        <v>3</v>
      </c>
      <c r="W63" s="377">
        <v>1</v>
      </c>
      <c r="AA63" s="17" t="s">
        <v>2997</v>
      </c>
      <c r="AB63" s="195" cm="1">
        <f t="array" ref="AB63">AVERAGE(_xlfn._xlws.FILTER('Autonomie 2023 LDV'!$AH:$AH, ('Autonomie 2023 LDV'!$A:$A=$AA63)*('Autonomie 2023 LDV'!$B:$B=AB$3)*('Autonomie 2023 LDV'!$D:$D="Pickup")))</f>
        <v>30701.349356941017</v>
      </c>
      <c r="AC63" s="195" cm="1">
        <f t="array" ref="AC63">AVERAGE(_xlfn._xlws.FILTER('Autonomie 2023 LDV'!$AH:$AH, ('Autonomie 2023 LDV'!$A:$A=$AA63)*('Autonomie 2023 LDV'!$B:$B=AC$3)*('Autonomie 2023 LDV'!$D:$D="Pickup")))</f>
        <v>28595.782357136017</v>
      </c>
      <c r="AD63" s="195" cm="1">
        <f t="array" ref="AD63">AVERAGE(_xlfn._xlws.FILTER('Autonomie 2023 LDV'!$AH:$AH, ('Autonomie 2023 LDV'!$A:$A=$AA63)*('Autonomie 2023 LDV'!$B:$B=AD$3)*('Autonomie 2023 LDV'!$D:$D="Pickup")))</f>
        <v>27039.031670950466</v>
      </c>
      <c r="AE63" s="195" cm="1">
        <f t="array" ref="AE63">AVERAGE(_xlfn._xlws.FILTER('Autonomie 2023 LDV'!$AH:$AH, ('Autonomie 2023 LDV'!$A:$A=$AA63)*('Autonomie 2023 LDV'!$B:$B=AE$3)*('Autonomie 2023 LDV'!$D:$D="Pickup")))</f>
        <v>25249.774294357612</v>
      </c>
      <c r="AF63" s="195">
        <f t="shared" si="88"/>
        <v>24565.206074683054</v>
      </c>
      <c r="AG63" s="195">
        <f t="shared" si="89"/>
        <v>23880.637855008496</v>
      </c>
      <c r="AH63" s="195" cm="1">
        <f t="array" ref="AH63">AVERAGE(_xlfn._xlws.FILTER('Autonomie 2023 LDV'!$AH:$AH, ('Autonomie 2023 LDV'!$A:$A=$AA63)*('Autonomie 2023 LDV'!$B:$B=AH$3)*('Autonomie 2023 LDV'!$D:$D="Pickup")))</f>
        <v>23196.069635333934</v>
      </c>
      <c r="AI63" s="85">
        <f t="shared" si="87"/>
        <v>-0.24446090738061568</v>
      </c>
      <c r="AK63" s="64"/>
      <c r="AT63" s="63"/>
    </row>
    <row r="64" spans="1:52" ht="15.75" x14ac:dyDescent="0.25">
      <c r="A64" t="s">
        <v>1104</v>
      </c>
      <c r="B64" t="s">
        <v>95</v>
      </c>
      <c r="C64" t="s">
        <v>4050</v>
      </c>
      <c r="D64">
        <v>2023</v>
      </c>
      <c r="E64">
        <v>2023</v>
      </c>
      <c r="F64" t="s">
        <v>1781</v>
      </c>
      <c r="G64">
        <f t="shared" si="78"/>
        <v>1.1463657166123775</v>
      </c>
      <c r="H64">
        <v>2020</v>
      </c>
      <c r="I64" t="s">
        <v>1783</v>
      </c>
      <c r="J64" t="s">
        <v>1084</v>
      </c>
      <c r="K64" s="277">
        <f t="shared" ref="K64:Q64" si="92">K63*$AT$59</f>
        <v>243.08859268354388</v>
      </c>
      <c r="L64" s="73">
        <f t="shared" si="92"/>
        <v>244.10629031212372</v>
      </c>
      <c r="M64" s="73">
        <f t="shared" si="92"/>
        <v>245.13389254049505</v>
      </c>
      <c r="N64" s="73">
        <f t="shared" si="92"/>
        <v>245.41741170952761</v>
      </c>
      <c r="O64" s="73">
        <f t="shared" si="92"/>
        <v>245.68937551213673</v>
      </c>
      <c r="P64" s="73">
        <f t="shared" si="92"/>
        <v>245.96133931474586</v>
      </c>
      <c r="Q64" s="73">
        <f t="shared" si="92"/>
        <v>246.23330311735498</v>
      </c>
      <c r="R64" s="72" t="s">
        <v>4063</v>
      </c>
      <c r="S64" s="717">
        <v>3</v>
      </c>
      <c r="T64" s="377">
        <v>1</v>
      </c>
      <c r="U64" s="377">
        <v>1</v>
      </c>
      <c r="V64" s="377">
        <v>3</v>
      </c>
      <c r="W64" s="377">
        <v>2</v>
      </c>
      <c r="AA64" s="17" t="s">
        <v>883</v>
      </c>
      <c r="AB64" s="195" cm="1">
        <f t="array" ref="AB64">AVERAGE(_xlfn._xlws.FILTER('Autonomie 2023 LDV'!$AH:$AH, ('Autonomie 2023 LDV'!$A:$A=$AA64)*('Autonomie 2023 LDV'!$B:$B=AB$3)*('Autonomie 2023 LDV'!$D:$D="Pickup")))</f>
        <v>34341.975222654655</v>
      </c>
      <c r="AC64" s="195" cm="1">
        <f t="array" ref="AC64">AVERAGE(_xlfn._xlws.FILTER('Autonomie 2023 LDV'!$AH:$AH, ('Autonomie 2023 LDV'!$A:$A=$AA64)*('Autonomie 2023 LDV'!$B:$B=AC$3)*('Autonomie 2023 LDV'!$D:$D="Pickup")))</f>
        <v>31642.861193818131</v>
      </c>
      <c r="AD64" s="195" cm="1">
        <f t="array" ref="AD64">AVERAGE(_xlfn._xlws.FILTER('Autonomie 2023 LDV'!$AH:$AH, ('Autonomie 2023 LDV'!$A:$A=$AA64)*('Autonomie 2023 LDV'!$B:$B=AD$3)*('Autonomie 2023 LDV'!$D:$D="Pickup")))</f>
        <v>29310.097115864923</v>
      </c>
      <c r="AE64" s="195" cm="1">
        <f t="array" ref="AE64">AVERAGE(_xlfn._xlws.FILTER('Autonomie 2023 LDV'!$AH:$AH, ('Autonomie 2023 LDV'!$A:$A=$AA64)*('Autonomie 2023 LDV'!$B:$B=AE$3)*('Autonomie 2023 LDV'!$D:$D="Pickup")))</f>
        <v>27182.27985355059</v>
      </c>
      <c r="AF64" s="195">
        <f t="shared" si="88"/>
        <v>26328.012528810657</v>
      </c>
      <c r="AG64" s="195">
        <f t="shared" si="89"/>
        <v>25473.745204070725</v>
      </c>
      <c r="AH64" s="195" cm="1">
        <f t="array" ref="AH64">AVERAGE(_xlfn._xlws.FILTER('Autonomie 2023 LDV'!$AH:$AH, ('Autonomie 2023 LDV'!$A:$A=$AA64)*('Autonomie 2023 LDV'!$B:$B=AH$3)*('Autonomie 2023 LDV'!$D:$D="Pickup")))</f>
        <v>24619.477879330796</v>
      </c>
      <c r="AI64" s="85">
        <f t="shared" si="87"/>
        <v>-0.28310827435779345</v>
      </c>
      <c r="AK64" s="313" t="s">
        <v>1780</v>
      </c>
      <c r="AT64" s="63"/>
    </row>
    <row r="65" spans="1:46" ht="15.75" thickBot="1" x14ac:dyDescent="0.3">
      <c r="A65" t="s">
        <v>1105</v>
      </c>
      <c r="B65" t="s">
        <v>95</v>
      </c>
      <c r="C65" t="s">
        <v>4050</v>
      </c>
      <c r="D65">
        <v>2023</v>
      </c>
      <c r="E65">
        <v>2023</v>
      </c>
      <c r="F65" t="s">
        <v>1781</v>
      </c>
      <c r="G65">
        <f t="shared" si="78"/>
        <v>1.1463657166123775</v>
      </c>
      <c r="H65">
        <v>2020</v>
      </c>
      <c r="I65" t="s">
        <v>1783</v>
      </c>
      <c r="J65" t="s">
        <v>1084</v>
      </c>
      <c r="K65" s="277">
        <f t="shared" ref="K65:Q69" si="93">AL57*1000/1000000</f>
        <v>244.33180337589567</v>
      </c>
      <c r="L65" s="73">
        <f t="shared" si="93"/>
        <v>244.36275525024422</v>
      </c>
      <c r="M65" s="73">
        <f t="shared" si="93"/>
        <v>241.87628801091199</v>
      </c>
      <c r="N65" s="73">
        <f t="shared" si="93"/>
        <v>239.55031197190547</v>
      </c>
      <c r="O65" s="73">
        <f t="shared" si="93"/>
        <v>239.57247504242665</v>
      </c>
      <c r="P65" s="73">
        <f t="shared" si="93"/>
        <v>239.59463811294782</v>
      </c>
      <c r="Q65" s="73">
        <f t="shared" si="93"/>
        <v>239.61680118346897</v>
      </c>
      <c r="R65" s="72" t="s">
        <v>4062</v>
      </c>
      <c r="S65" s="717">
        <v>3</v>
      </c>
      <c r="T65" s="377">
        <v>1</v>
      </c>
      <c r="U65" s="377">
        <v>1</v>
      </c>
      <c r="V65" s="377">
        <v>3</v>
      </c>
      <c r="W65" s="377">
        <v>1</v>
      </c>
      <c r="AA65" s="17" t="s">
        <v>884</v>
      </c>
      <c r="AB65" s="195" cm="1">
        <f t="array" ref="AB65">AVERAGE(_xlfn._xlws.FILTER('Autonomie 2023 LDV'!$AH:$AH, ('Autonomie 2023 LDV'!$A:$A=$AA65)*('Autonomie 2023 LDV'!$B:$B=AB$3)*('Autonomie 2023 LDV'!$D:$D="Pickup")))</f>
        <v>41347.368442732557</v>
      </c>
      <c r="AC65" s="195" cm="1">
        <f t="array" ref="AC65">AVERAGE(_xlfn._xlws.FILTER('Autonomie 2023 LDV'!$AH:$AH, ('Autonomie 2023 LDV'!$A:$A=$AA65)*('Autonomie 2023 LDV'!$B:$B=AC$3)*('Autonomie 2023 LDV'!$D:$D="Pickup")))</f>
        <v>37982.110664348351</v>
      </c>
      <c r="AD65" s="195" cm="1">
        <f t="array" ref="AD65">AVERAGE(_xlfn._xlws.FILTER('Autonomie 2023 LDV'!$AH:$AH, ('Autonomie 2023 LDV'!$A:$A=$AA65)*('Autonomie 2023 LDV'!$B:$B=AD$3)*('Autonomie 2023 LDV'!$D:$D="Pickup")))</f>
        <v>34361.065506729763</v>
      </c>
      <c r="AE65" s="195" cm="1">
        <f t="array" ref="AE65">AVERAGE(_xlfn._xlws.FILTER('Autonomie 2023 LDV'!$AH:$AH, ('Autonomie 2023 LDV'!$A:$A=$AA65)*('Autonomie 2023 LDV'!$B:$B=AE$3)*('Autonomie 2023 LDV'!$D:$D="Pickup")))</f>
        <v>31486.066998749095</v>
      </c>
      <c r="AF65" s="195">
        <f t="shared" si="88"/>
        <v>30282.991707980491</v>
      </c>
      <c r="AG65" s="195">
        <f t="shared" si="89"/>
        <v>29079.916417211887</v>
      </c>
      <c r="AH65" s="195" cm="1">
        <f t="array" ref="AH65">AVERAGE(_xlfn._xlws.FILTER('Autonomie 2023 LDV'!$AH:$AH, ('Autonomie 2023 LDV'!$A:$A=$AA65)*('Autonomie 2023 LDV'!$B:$B=AH$3)*('Autonomie 2023 LDV'!$D:$D="Pickup")))</f>
        <v>27876.841126443287</v>
      </c>
      <c r="AI65" s="85">
        <f t="shared" si="87"/>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4050</v>
      </c>
      <c r="D66">
        <v>2023</v>
      </c>
      <c r="E66">
        <v>2023</v>
      </c>
      <c r="F66" t="s">
        <v>1781</v>
      </c>
      <c r="G66">
        <f t="shared" si="78"/>
        <v>1.1463657166123775</v>
      </c>
      <c r="H66">
        <v>2020</v>
      </c>
      <c r="I66" t="s">
        <v>1783</v>
      </c>
      <c r="J66" t="s">
        <v>1084</v>
      </c>
      <c r="K66" s="277">
        <f t="shared" si="93"/>
        <v>385.0929033530129</v>
      </c>
      <c r="L66" s="73">
        <f t="shared" si="93"/>
        <v>348.87118580521161</v>
      </c>
      <c r="M66" s="73">
        <f t="shared" si="93"/>
        <v>311.7518639013029</v>
      </c>
      <c r="N66" s="73">
        <f t="shared" si="93"/>
        <v>290.35036233786639</v>
      </c>
      <c r="O66" s="73">
        <f t="shared" si="93"/>
        <v>280.24438430211723</v>
      </c>
      <c r="P66" s="73">
        <f t="shared" si="93"/>
        <v>270.13840626636801</v>
      </c>
      <c r="Q66" s="73">
        <f t="shared" si="93"/>
        <v>260.03242823061885</v>
      </c>
      <c r="R66" s="72" t="s">
        <v>4062</v>
      </c>
      <c r="S66" s="717">
        <v>3</v>
      </c>
      <c r="T66" s="377">
        <v>1</v>
      </c>
      <c r="U66" s="377">
        <v>1</v>
      </c>
      <c r="V66" s="377">
        <v>3</v>
      </c>
      <c r="W66" s="377">
        <v>1</v>
      </c>
      <c r="AA66" s="17" t="s">
        <v>885</v>
      </c>
      <c r="AB66" s="195" cm="1">
        <f t="array" ref="AB66">AVERAGE(_xlfn._xlws.FILTER('Autonomie 2023 LDV'!$AH:$AH, ('Autonomie 2023 LDV'!$A:$A=$AA66)*('Autonomie 2023 LDV'!$B:$B=AB$3)*('Autonomie 2023 LDV'!$D:$D="Pickup")))</f>
        <v>52608.014178059413</v>
      </c>
      <c r="AC66" s="195" cm="1">
        <f t="array" ref="AC66">AVERAGE(_xlfn._xlws.FILTER('Autonomie 2023 LDV'!$AH:$AH, ('Autonomie 2023 LDV'!$A:$A=$AA66)*('Autonomie 2023 LDV'!$B:$B=AC$3)*('Autonomie 2023 LDV'!$D:$D="Pickup")))</f>
        <v>45897.893900217241</v>
      </c>
      <c r="AD66" s="195" cm="1">
        <f t="array" ref="AD66">AVERAGE(_xlfn._xlws.FILTER('Autonomie 2023 LDV'!$AH:$AH, ('Autonomie 2023 LDV'!$A:$A=$AA66)*('Autonomie 2023 LDV'!$B:$B=AD$3)*('Autonomie 2023 LDV'!$D:$D="Pickup")))</f>
        <v>41367.818210164834</v>
      </c>
      <c r="AE66" s="195" cm="1">
        <f t="array" ref="AE66">AVERAGE(_xlfn._xlws.FILTER('Autonomie 2023 LDV'!$AH:$AH, ('Autonomie 2023 LDV'!$A:$A=$AA66)*('Autonomie 2023 LDV'!$B:$B=AE$3)*('Autonomie 2023 LDV'!$D:$D="Pickup")))</f>
        <v>37717.731063555781</v>
      </c>
      <c r="AF66" s="195">
        <f t="shared" si="88"/>
        <v>35872.168994031221</v>
      </c>
      <c r="AG66" s="195">
        <f t="shared" si="89"/>
        <v>34026.606924506661</v>
      </c>
      <c r="AH66" s="195" cm="1">
        <f t="array" ref="AH66">AVERAGE(_xlfn._xlws.FILTER('Autonomie 2023 LDV'!$AH:$AH, ('Autonomie 2023 LDV'!$A:$A=$AA66)*('Autonomie 2023 LDV'!$B:$B=AH$3)*('Autonomie 2023 LDV'!$D:$D="Pickup")))</f>
        <v>32181.044854982112</v>
      </c>
      <c r="AI66" s="85">
        <f t="shared" si="87"/>
        <v>-0.38828626478732453</v>
      </c>
      <c r="AK66" s="379" t="s">
        <v>1588</v>
      </c>
      <c r="AL66" s="442">
        <f>AM66</f>
        <v>1</v>
      </c>
      <c r="AM66" s="442">
        <f>'Background Data'!BE142/'Background Data'!BE136</f>
        <v>1</v>
      </c>
      <c r="AN66" s="442">
        <f>($AP$66-$AM$66)/3 + AM66</f>
        <v>1.0205774747326513</v>
      </c>
      <c r="AO66" s="442">
        <f>($AP$66-$AM$66)/3 + AN66</f>
        <v>1.0411549494653025</v>
      </c>
      <c r="AP66" s="442">
        <f>'Background Data'!BE140/'Background Data'!BE134</f>
        <v>1.0617324241979538</v>
      </c>
      <c r="AQ66" s="442">
        <f>(AR66-AP66)/2 + AP66</f>
        <v>1.1403261650513192</v>
      </c>
      <c r="AR66" s="442">
        <f>'Background Data'!BE138/'Background Data'!BE132</f>
        <v>1.2189199059046849</v>
      </c>
      <c r="AT66" s="63"/>
    </row>
    <row r="67" spans="1:46" ht="15.75" thickBot="1" x14ac:dyDescent="0.3">
      <c r="A67" t="s">
        <v>1107</v>
      </c>
      <c r="B67" t="s">
        <v>95</v>
      </c>
      <c r="C67" t="s">
        <v>4050</v>
      </c>
      <c r="D67">
        <v>2023</v>
      </c>
      <c r="E67">
        <v>2023</v>
      </c>
      <c r="F67" t="s">
        <v>1781</v>
      </c>
      <c r="G67">
        <f t="shared" si="78"/>
        <v>1.1463657166123775</v>
      </c>
      <c r="H67">
        <v>2020</v>
      </c>
      <c r="I67" t="s">
        <v>1783</v>
      </c>
      <c r="J67" t="s">
        <v>1084</v>
      </c>
      <c r="K67" s="277">
        <f t="shared" si="93"/>
        <v>414.69894435024418</v>
      </c>
      <c r="L67" s="73">
        <f t="shared" si="93"/>
        <v>369.77631101335487</v>
      </c>
      <c r="M67" s="73">
        <f t="shared" si="93"/>
        <v>321.91095688192178</v>
      </c>
      <c r="N67" s="73">
        <f t="shared" si="93"/>
        <v>301.10785822255696</v>
      </c>
      <c r="O67" s="73">
        <f t="shared" si="93"/>
        <v>288.29110738892501</v>
      </c>
      <c r="P67" s="73">
        <f t="shared" si="93"/>
        <v>275.47435655529313</v>
      </c>
      <c r="Q67" s="73">
        <f t="shared" si="93"/>
        <v>262.65760572166118</v>
      </c>
      <c r="R67" s="72" t="s">
        <v>4062</v>
      </c>
      <c r="S67" s="717">
        <v>3</v>
      </c>
      <c r="T67" s="377">
        <v>1</v>
      </c>
      <c r="U67" s="377">
        <v>1</v>
      </c>
      <c r="V67" s="377">
        <v>3</v>
      </c>
      <c r="W67" s="377">
        <v>1</v>
      </c>
      <c r="AA67" s="17" t="s">
        <v>567</v>
      </c>
      <c r="AB67" s="195" cm="1">
        <f t="array" ref="AB67">AVERAGE(_xlfn._xlws.FILTER('Autonomie 2023 LDV'!$AH:$AH, ('Autonomie 2023 LDV'!$A:$A=$AA67)*('Autonomie 2023 LDV'!$B:$B=AB$3)*('Autonomie 2023 LDV'!$D:$D="Pickup")))</f>
        <v>53360.471835425968</v>
      </c>
      <c r="AC67" s="195" cm="1">
        <f t="array" ref="AC67">AVERAGE(_xlfn._xlws.FILTER('Autonomie 2023 LDV'!$AH:$AH, ('Autonomie 2023 LDV'!$A:$A=$AA67)*('Autonomie 2023 LDV'!$B:$B=AC$3)*('Autonomie 2023 LDV'!$D:$D="Pickup")))</f>
        <v>49477.702464200338</v>
      </c>
      <c r="AD67" s="195" cm="1">
        <f t="array" ref="AD67">AVERAGE(_xlfn._xlws.FILTER('Autonomie 2023 LDV'!$AH:$AH, ('Autonomie 2023 LDV'!$A:$A=$AA67)*('Autonomie 2023 LDV'!$B:$B=AD$3)*('Autonomie 2023 LDV'!$D:$D="Pickup")))</f>
        <v>39886.683196829261</v>
      </c>
      <c r="AE67" s="195" cm="1">
        <f t="array" ref="AE67">AVERAGE(_xlfn._xlws.FILTER('Autonomie 2023 LDV'!$AH:$AH, ('Autonomie 2023 LDV'!$A:$A=$AA67)*('Autonomie 2023 LDV'!$B:$B=AE$3)*('Autonomie 2023 LDV'!$D:$D="Pickup")))</f>
        <v>37988.45244188849</v>
      </c>
      <c r="AF67" s="195">
        <f t="shared" si="88"/>
        <v>36229.270725944545</v>
      </c>
      <c r="AG67" s="195">
        <f t="shared" si="89"/>
        <v>34470.089010000607</v>
      </c>
      <c r="AH67" s="195" cm="1">
        <f t="array" ref="AH67">AVERAGE(_xlfn._xlws.FILTER('Autonomie 2023 LDV'!$AH:$AH, ('Autonomie 2023 LDV'!$A:$A=$AA67)*('Autonomie 2023 LDV'!$B:$B=AH$3)*('Autonomie 2023 LDV'!$D:$D="Pickup")))</f>
        <v>32710.907294056666</v>
      </c>
      <c r="AI67" s="85">
        <f t="shared" si="87"/>
        <v>-0.38698242034022035</v>
      </c>
      <c r="AK67" s="392" t="s">
        <v>1779</v>
      </c>
      <c r="AL67" s="68"/>
      <c r="AM67" s="68"/>
      <c r="AN67" s="432"/>
      <c r="AO67" s="443"/>
      <c r="AP67" s="68"/>
      <c r="AQ67" s="68"/>
      <c r="AR67" s="68"/>
      <c r="AS67" s="68"/>
      <c r="AT67" s="296"/>
    </row>
    <row r="68" spans="1:46" x14ac:dyDescent="0.25">
      <c r="A68" t="s">
        <v>1108</v>
      </c>
      <c r="B68" t="s">
        <v>95</v>
      </c>
      <c r="C68" t="s">
        <v>4050</v>
      </c>
      <c r="D68">
        <v>2023</v>
      </c>
      <c r="E68">
        <v>2023</v>
      </c>
      <c r="F68" t="s">
        <v>1781</v>
      </c>
      <c r="G68">
        <f t="shared" si="78"/>
        <v>1.1463657166123775</v>
      </c>
      <c r="H68">
        <v>2020</v>
      </c>
      <c r="I68" t="s">
        <v>1783</v>
      </c>
      <c r="J68" t="s">
        <v>1084</v>
      </c>
      <c r="K68" s="277">
        <f t="shared" si="93"/>
        <v>289.99613533143315</v>
      </c>
      <c r="L68" s="73">
        <f t="shared" si="93"/>
        <v>270.7394840237784</v>
      </c>
      <c r="M68" s="73">
        <f t="shared" si="93"/>
        <v>261.38284704478821</v>
      </c>
      <c r="N68" s="73">
        <f t="shared" si="93"/>
        <v>253.64717118908786</v>
      </c>
      <c r="O68" s="73">
        <f t="shared" si="93"/>
        <v>250.15916243534195</v>
      </c>
      <c r="P68" s="73">
        <f t="shared" si="93"/>
        <v>246.67115368159602</v>
      </c>
      <c r="Q68" s="73">
        <f t="shared" si="93"/>
        <v>243.18314492785007</v>
      </c>
      <c r="R68" s="72" t="s">
        <v>4062</v>
      </c>
      <c r="S68" s="717">
        <v>3</v>
      </c>
      <c r="T68" s="377">
        <v>1</v>
      </c>
      <c r="U68" s="377">
        <v>1</v>
      </c>
      <c r="V68" s="377">
        <v>3</v>
      </c>
      <c r="W68" s="377">
        <v>1</v>
      </c>
      <c r="AA68" s="17"/>
      <c r="AB68" s="195"/>
      <c r="AC68" s="195"/>
      <c r="AD68" s="195"/>
      <c r="AE68" s="195"/>
      <c r="AF68" s="195"/>
      <c r="AG68" s="195"/>
      <c r="AH68" s="195"/>
      <c r="AI68" s="85"/>
    </row>
    <row r="69" spans="1:46" ht="15.75" x14ac:dyDescent="0.25">
      <c r="A69" t="s">
        <v>1109</v>
      </c>
      <c r="B69" t="s">
        <v>95</v>
      </c>
      <c r="C69" t="s">
        <v>4050</v>
      </c>
      <c r="D69">
        <v>2023</v>
      </c>
      <c r="E69">
        <v>2023</v>
      </c>
      <c r="F69" t="s">
        <v>1781</v>
      </c>
      <c r="G69">
        <f t="shared" si="78"/>
        <v>1.1463657166123775</v>
      </c>
      <c r="H69">
        <v>2020</v>
      </c>
      <c r="I69" t="s">
        <v>1783</v>
      </c>
      <c r="J69" t="s">
        <v>1084</v>
      </c>
      <c r="K69" s="277">
        <f t="shared" si="93"/>
        <v>266.93011074747545</v>
      </c>
      <c r="L69" s="73">
        <f t="shared" si="93"/>
        <v>253.40070256001621</v>
      </c>
      <c r="M69" s="73">
        <f t="shared" si="93"/>
        <v>244.08992020969049</v>
      </c>
      <c r="N69" s="73">
        <f t="shared" si="93"/>
        <v>237.27936148729634</v>
      </c>
      <c r="O69" s="73">
        <f t="shared" si="93"/>
        <v>234.5242625483713</v>
      </c>
      <c r="P69" s="73">
        <f t="shared" si="93"/>
        <v>231.7691636094462</v>
      </c>
      <c r="Q69" s="73">
        <f t="shared" si="93"/>
        <v>229.01406467052112</v>
      </c>
      <c r="R69" s="72" t="s">
        <v>4062</v>
      </c>
      <c r="S69" s="717">
        <v>3</v>
      </c>
      <c r="T69" s="377">
        <v>1</v>
      </c>
      <c r="U69" s="377">
        <v>1</v>
      </c>
      <c r="V69" s="377">
        <v>3</v>
      </c>
      <c r="W69" s="377">
        <v>1</v>
      </c>
      <c r="AA69" s="260" t="s">
        <v>4052</v>
      </c>
      <c r="AB69" s="260"/>
      <c r="AC69" s="260"/>
      <c r="AD69" s="260"/>
      <c r="AE69" s="260"/>
      <c r="AF69" s="260"/>
      <c r="AG69" s="260"/>
      <c r="AH69" s="260"/>
      <c r="AI69" s="159"/>
      <c r="AK69" s="159" t="s">
        <v>2923</v>
      </c>
      <c r="AL69" s="159"/>
      <c r="AM69" s="159"/>
      <c r="AN69" s="159"/>
      <c r="AO69" s="159"/>
      <c r="AP69" s="159"/>
      <c r="AQ69" s="159"/>
      <c r="AR69" s="159"/>
    </row>
    <row r="70" spans="1:46" ht="15.75" thickBot="1" x14ac:dyDescent="0.3">
      <c r="A70" t="s">
        <v>1110</v>
      </c>
      <c r="B70" t="s">
        <v>95</v>
      </c>
      <c r="C70" t="s">
        <v>4050</v>
      </c>
      <c r="D70">
        <v>2023</v>
      </c>
      <c r="E70">
        <v>2023</v>
      </c>
      <c r="F70" t="s">
        <v>1781</v>
      </c>
      <c r="G70">
        <f t="shared" si="78"/>
        <v>1.1463657166123775</v>
      </c>
      <c r="H70">
        <v>2020</v>
      </c>
      <c r="I70" t="s">
        <v>1783</v>
      </c>
      <c r="J70" t="s">
        <v>1084</v>
      </c>
      <c r="K70" s="277">
        <f t="shared" ref="K70:Q70" si="94">K62*$AL$66</f>
        <v>207.76802793465291</v>
      </c>
      <c r="L70" s="73">
        <f t="shared" si="94"/>
        <v>208.63785496762711</v>
      </c>
      <c r="M70" s="73">
        <f t="shared" si="94"/>
        <v>209.51614747050857</v>
      </c>
      <c r="N70" s="73">
        <f t="shared" si="94"/>
        <v>209.7584715466048</v>
      </c>
      <c r="O70" s="73">
        <f t="shared" si="94"/>
        <v>209.99091924114251</v>
      </c>
      <c r="P70" s="73">
        <f t="shared" si="94"/>
        <v>210.22336693568022</v>
      </c>
      <c r="Q70" s="73">
        <f t="shared" si="94"/>
        <v>210.45581463021793</v>
      </c>
      <c r="R70" s="72" t="s">
        <v>1790</v>
      </c>
      <c r="S70" s="717">
        <v>3</v>
      </c>
      <c r="T70" s="377">
        <v>1</v>
      </c>
      <c r="U70" s="377">
        <v>1</v>
      </c>
      <c r="V70" s="377">
        <v>3</v>
      </c>
      <c r="W70" s="377">
        <v>2</v>
      </c>
      <c r="AA70" s="88" t="s">
        <v>246</v>
      </c>
      <c r="AB70" s="88">
        <v>2023</v>
      </c>
      <c r="AC70" s="88">
        <v>2025</v>
      </c>
      <c r="AD70" s="88">
        <v>2030</v>
      </c>
      <c r="AE70" s="88">
        <v>2035</v>
      </c>
      <c r="AF70" s="83" t="s">
        <v>922</v>
      </c>
      <c r="AG70" s="83" t="s">
        <v>923</v>
      </c>
      <c r="AH70" s="88">
        <v>2050</v>
      </c>
      <c r="AI70" s="28" t="s">
        <v>3049</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4050</v>
      </c>
      <c r="D71">
        <v>2023</v>
      </c>
      <c r="E71">
        <v>2023</v>
      </c>
      <c r="F71" t="s">
        <v>1781</v>
      </c>
      <c r="G71">
        <f t="shared" si="78"/>
        <v>1.1463657166123775</v>
      </c>
      <c r="H71">
        <v>2020</v>
      </c>
      <c r="I71" t="s">
        <v>1783</v>
      </c>
      <c r="J71" t="s">
        <v>1084</v>
      </c>
      <c r="K71" s="277">
        <f t="shared" ref="K71:Q71" si="95">K63*$AM$66</f>
        <v>225.08203026254063</v>
      </c>
      <c r="L71" s="73">
        <f t="shared" si="95"/>
        <v>226.02434288159603</v>
      </c>
      <c r="M71" s="73">
        <f t="shared" si="95"/>
        <v>226.97582642638429</v>
      </c>
      <c r="N71" s="73">
        <f t="shared" si="95"/>
        <v>227.23834417548852</v>
      </c>
      <c r="O71" s="73">
        <f t="shared" si="95"/>
        <v>227.49016251123771</v>
      </c>
      <c r="P71" s="73">
        <f t="shared" si="95"/>
        <v>227.74198084698688</v>
      </c>
      <c r="Q71" s="73">
        <f t="shared" si="95"/>
        <v>227.99379918273607</v>
      </c>
      <c r="R71" s="72" t="s">
        <v>1789</v>
      </c>
      <c r="S71" s="717">
        <v>3</v>
      </c>
      <c r="T71" s="377">
        <v>1</v>
      </c>
      <c r="U71" s="377">
        <v>1</v>
      </c>
      <c r="V71" s="377">
        <v>3</v>
      </c>
      <c r="W71" s="377">
        <v>2</v>
      </c>
      <c r="AA71" s="28" t="s">
        <v>3992</v>
      </c>
      <c r="AK71" t="s">
        <v>1853</v>
      </c>
      <c r="AL71" s="441">
        <f>'OEO &amp; EPAUS9rT Data'!S73*USD2018_to_CAD2020</f>
        <v>423.88048080000016</v>
      </c>
      <c r="AM71" s="441">
        <f>'OEO &amp; EPAUS9rT Data'!T73*USD2018_to_CAD2020</f>
        <v>348.99938640000011</v>
      </c>
      <c r="AN71" s="441">
        <f>'OEO &amp; EPAUS9rT Data'!U73*USD2018_to_CAD2020</f>
        <v>274.11829200000011</v>
      </c>
      <c r="AO71" s="441">
        <f>'OEO &amp; EPAUS9rT Data'!V73*USD2018_to_CAD2020</f>
        <v>274.11829200000011</v>
      </c>
      <c r="AP71" s="441">
        <f>'OEO &amp; EPAUS9rT Data'!W73*USD2018_to_CAD2020</f>
        <v>274.11829200000011</v>
      </c>
      <c r="AQ71" s="441">
        <f>'OEO &amp; EPAUS9rT Data'!X73*USD2018_to_CAD2020</f>
        <v>274.11829200000011</v>
      </c>
      <c r="AR71" s="441">
        <f>'OEO &amp; EPAUS9rT Data'!Y73*USD2018_to_CAD2020</f>
        <v>274.11829200000011</v>
      </c>
    </row>
    <row r="72" spans="1:46" x14ac:dyDescent="0.25">
      <c r="A72" t="s">
        <v>1112</v>
      </c>
      <c r="B72" t="s">
        <v>95</v>
      </c>
      <c r="C72" t="s">
        <v>4050</v>
      </c>
      <c r="D72">
        <v>2023</v>
      </c>
      <c r="E72">
        <v>2023</v>
      </c>
      <c r="F72" t="s">
        <v>1781</v>
      </c>
      <c r="G72">
        <f t="shared" si="78"/>
        <v>1.1463657166123775</v>
      </c>
      <c r="H72">
        <v>2020</v>
      </c>
      <c r="I72" t="s">
        <v>1783</v>
      </c>
      <c r="J72" t="s">
        <v>1084</v>
      </c>
      <c r="K72" s="277">
        <f t="shared" ref="K72:Q72" si="96">K65*$AN$66</f>
        <v>249.35953488624628</v>
      </c>
      <c r="L72" s="73">
        <f t="shared" si="96"/>
        <v>249.39112367200715</v>
      </c>
      <c r="M72" s="73">
        <f t="shared" si="96"/>
        <v>246.85349121588402</v>
      </c>
      <c r="N72" s="73">
        <f t="shared" si="96"/>
        <v>244.47965246370609</v>
      </c>
      <c r="O72" s="73">
        <f t="shared" si="96"/>
        <v>244.50227159425091</v>
      </c>
      <c r="P72" s="73">
        <f t="shared" si="96"/>
        <v>244.52489072479574</v>
      </c>
      <c r="Q72" s="73">
        <f t="shared" si="96"/>
        <v>244.54750985534051</v>
      </c>
      <c r="R72" s="72" t="s">
        <v>1791</v>
      </c>
      <c r="S72" s="717">
        <v>3</v>
      </c>
      <c r="T72" s="377">
        <v>1</v>
      </c>
      <c r="U72" s="377">
        <v>1</v>
      </c>
      <c r="V72" s="377">
        <v>3</v>
      </c>
      <c r="W72" s="377">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97">($AH72-$AE72)/3 + AE72</f>
        <v>45613.891864006502</v>
      </c>
      <c r="AG72" s="195">
        <f t="shared" si="97"/>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98">(AH72-AB72)/AB72</f>
        <v>8.813250265917066E-3</v>
      </c>
      <c r="AK72" t="s">
        <v>1852</v>
      </c>
      <c r="AL72" s="441">
        <f>'OEO &amp; EPAUS9rT Data'!S74*USD2018_to_CAD2020</f>
        <v>133.87669948800004</v>
      </c>
      <c r="AM72" s="441">
        <f>'OEO &amp; EPAUS9rT Data'!T74*USD2018_to_CAD2020</f>
        <v>133.87669948800004</v>
      </c>
      <c r="AN72" s="441">
        <f>'OEO &amp; EPAUS9rT Data'!U74*USD2018_to_CAD2020</f>
        <v>133.87669948800004</v>
      </c>
      <c r="AO72" s="441">
        <f>'OEO &amp; EPAUS9rT Data'!V74*USD2018_to_CAD2020</f>
        <v>133.87669948800004</v>
      </c>
      <c r="AP72" s="441">
        <f>'OEO &amp; EPAUS9rT Data'!W74*USD2018_to_CAD2020</f>
        <v>133.87669948800004</v>
      </c>
      <c r="AQ72" s="441">
        <f>'OEO &amp; EPAUS9rT Data'!X74*USD2018_to_CAD2020</f>
        <v>133.87669948800004</v>
      </c>
      <c r="AR72" s="441">
        <f>'OEO &amp; EPAUS9rT Data'!Y74*USD2018_to_CAD2020</f>
        <v>133.87669948800004</v>
      </c>
    </row>
    <row r="73" spans="1:46" x14ac:dyDescent="0.25">
      <c r="A73" t="s">
        <v>1113</v>
      </c>
      <c r="B73" t="s">
        <v>95</v>
      </c>
      <c r="C73" t="s">
        <v>4050</v>
      </c>
      <c r="D73">
        <v>2023</v>
      </c>
      <c r="E73">
        <v>2023</v>
      </c>
      <c r="F73" t="s">
        <v>1781</v>
      </c>
      <c r="G73">
        <f t="shared" si="78"/>
        <v>1.1463657166123775</v>
      </c>
      <c r="H73">
        <v>2020</v>
      </c>
      <c r="I73" t="s">
        <v>1783</v>
      </c>
      <c r="J73" t="s">
        <v>1084</v>
      </c>
      <c r="K73" s="277">
        <f t="shared" ref="K73:Q73" si="99">K67*$AR$66</f>
        <v>505.48479822617179</v>
      </c>
      <c r="L73" s="73">
        <f t="shared" si="99"/>
        <v>450.72770622618003</v>
      </c>
      <c r="M73" s="73">
        <f t="shared" si="99"/>
        <v>392.38367327219919</v>
      </c>
      <c r="N73" s="73">
        <f t="shared" si="99"/>
        <v>367.02636221180035</v>
      </c>
      <c r="O73" s="73">
        <f t="shared" si="99"/>
        <v>351.40376949166591</v>
      </c>
      <c r="P73" s="73">
        <f t="shared" si="99"/>
        <v>335.78117677153153</v>
      </c>
      <c r="Q73" s="73">
        <f t="shared" si="99"/>
        <v>320.1585840513971</v>
      </c>
      <c r="R73" s="72" t="s">
        <v>1789</v>
      </c>
      <c r="S73" s="717">
        <v>3</v>
      </c>
      <c r="T73" s="377">
        <v>1</v>
      </c>
      <c r="U73" s="377">
        <v>1</v>
      </c>
      <c r="V73" s="377">
        <v>3</v>
      </c>
      <c r="W73" s="377">
        <v>2</v>
      </c>
      <c r="Z73">
        <v>2</v>
      </c>
      <c r="AA73" s="17" t="s">
        <v>3979</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97"/>
        <v>44872.95748916937</v>
      </c>
      <c r="AG73" s="195">
        <f t="shared" si="97"/>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98"/>
        <v>3.9665143792748214E-2</v>
      </c>
    </row>
    <row r="74" spans="1:46" x14ac:dyDescent="0.25">
      <c r="A74" t="s">
        <v>1114</v>
      </c>
      <c r="B74" t="s">
        <v>95</v>
      </c>
      <c r="C74" t="s">
        <v>4050</v>
      </c>
      <c r="D74">
        <v>2023</v>
      </c>
      <c r="E74">
        <v>2023</v>
      </c>
      <c r="F74" t="s">
        <v>1781</v>
      </c>
      <c r="G74">
        <f t="shared" si="78"/>
        <v>1.1463657166123775</v>
      </c>
      <c r="H74">
        <v>2020</v>
      </c>
      <c r="I74" t="s">
        <v>1783</v>
      </c>
      <c r="J74" t="s">
        <v>1084</v>
      </c>
      <c r="K74" s="277">
        <f t="shared" ref="K74:Q74" si="100">K68*$AP$66</f>
        <v>307.8982997734804</v>
      </c>
      <c r="L74" s="73">
        <f t="shared" si="100"/>
        <v>287.45288869866943</v>
      </c>
      <c r="M74" s="73">
        <f t="shared" si="100"/>
        <v>277.51864383662593</v>
      </c>
      <c r="N74" s="73">
        <f t="shared" si="100"/>
        <v>269.3054259575436</v>
      </c>
      <c r="O74" s="73">
        <f t="shared" si="100"/>
        <v>265.60209396780533</v>
      </c>
      <c r="P74" s="73">
        <f t="shared" si="100"/>
        <v>261.89876197806694</v>
      </c>
      <c r="Q74" s="73">
        <f t="shared" si="100"/>
        <v>258.19542998832856</v>
      </c>
      <c r="R74" s="72" t="s">
        <v>1789</v>
      </c>
      <c r="S74" s="717">
        <v>3</v>
      </c>
      <c r="T74" s="377">
        <v>1</v>
      </c>
      <c r="U74" s="377">
        <v>1</v>
      </c>
      <c r="V74" s="377">
        <v>3</v>
      </c>
      <c r="W74" s="377">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97"/>
        <v>49531.023517670998</v>
      </c>
      <c r="AG74" s="195">
        <f t="shared" si="97"/>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98"/>
        <v>-2.2254924156667428E-2</v>
      </c>
    </row>
    <row r="75" spans="1:46" x14ac:dyDescent="0.25">
      <c r="A75" t="s">
        <v>1118</v>
      </c>
      <c r="B75" t="s">
        <v>95</v>
      </c>
      <c r="C75" t="s">
        <v>1644</v>
      </c>
      <c r="D75">
        <v>2022</v>
      </c>
      <c r="E75">
        <v>2018</v>
      </c>
      <c r="F75" t="s">
        <v>1781</v>
      </c>
      <c r="G75" s="259">
        <f t="shared" ref="G75:G97" si="101">USD2018_to_CAD2020</f>
        <v>1.3371624000000004</v>
      </c>
      <c r="H75">
        <v>2020</v>
      </c>
      <c r="I75" t="s">
        <v>1783</v>
      </c>
      <c r="J75" t="s">
        <v>2917</v>
      </c>
      <c r="K75" s="277">
        <f t="shared" ref="K75:Q76" si="102">$BC$5</f>
        <v>676.77562220892833</v>
      </c>
      <c r="L75" s="73">
        <f t="shared" si="102"/>
        <v>676.77562220892833</v>
      </c>
      <c r="M75" s="73">
        <f t="shared" si="102"/>
        <v>676.77562220892833</v>
      </c>
      <c r="N75" s="73">
        <f t="shared" si="102"/>
        <v>676.77562220892833</v>
      </c>
      <c r="O75" s="73">
        <f t="shared" si="102"/>
        <v>676.77562220892833</v>
      </c>
      <c r="P75" s="73">
        <f t="shared" si="102"/>
        <v>676.77562220892833</v>
      </c>
      <c r="Q75" s="73">
        <f t="shared" si="102"/>
        <v>676.77562220892833</v>
      </c>
      <c r="R75" s="72" t="s">
        <v>1785</v>
      </c>
      <c r="S75" s="717">
        <v>3</v>
      </c>
      <c r="T75" s="377">
        <v>1</v>
      </c>
      <c r="U75" s="377">
        <v>1</v>
      </c>
      <c r="V75" s="377">
        <v>3</v>
      </c>
      <c r="W75" s="377">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97"/>
        <v>57184.543163680763</v>
      </c>
      <c r="AG75" s="195">
        <f t="shared" si="97"/>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98"/>
        <v>-0.422396957549594</v>
      </c>
    </row>
    <row r="76" spans="1:46" x14ac:dyDescent="0.25">
      <c r="A76" t="s">
        <v>1119</v>
      </c>
      <c r="B76" t="s">
        <v>95</v>
      </c>
      <c r="C76" t="s">
        <v>1644</v>
      </c>
      <c r="D76">
        <v>2022</v>
      </c>
      <c r="E76">
        <v>2018</v>
      </c>
      <c r="F76" t="s">
        <v>1781</v>
      </c>
      <c r="G76" s="259">
        <f t="shared" si="101"/>
        <v>1.3371624000000004</v>
      </c>
      <c r="H76">
        <v>2020</v>
      </c>
      <c r="I76" t="s">
        <v>1783</v>
      </c>
      <c r="J76" t="s">
        <v>2917</v>
      </c>
      <c r="K76" s="277">
        <f t="shared" si="102"/>
        <v>676.77562220892833</v>
      </c>
      <c r="L76" s="73">
        <f t="shared" si="102"/>
        <v>676.77562220892833</v>
      </c>
      <c r="M76" s="73">
        <f t="shared" si="102"/>
        <v>676.77562220892833</v>
      </c>
      <c r="N76" s="73">
        <f t="shared" si="102"/>
        <v>676.77562220892833</v>
      </c>
      <c r="O76" s="73">
        <f t="shared" si="102"/>
        <v>676.77562220892833</v>
      </c>
      <c r="P76" s="73">
        <f t="shared" si="102"/>
        <v>676.77562220892833</v>
      </c>
      <c r="Q76" s="73">
        <f t="shared" si="102"/>
        <v>676.77562220892833</v>
      </c>
      <c r="R76" s="72" t="s">
        <v>1786</v>
      </c>
      <c r="S76" s="717">
        <v>3</v>
      </c>
      <c r="T76" s="377">
        <v>1</v>
      </c>
      <c r="U76" s="377">
        <v>1</v>
      </c>
      <c r="V76" s="377">
        <v>3</v>
      </c>
      <c r="W76" s="377">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97"/>
        <v>46051.421445846892</v>
      </c>
      <c r="AG76" s="195">
        <f t="shared" si="97"/>
        <v>42874.459923208458</v>
      </c>
      <c r="AH76" s="195" cm="1">
        <f t="array" ref="AH76">AVERAGE(_xlfn._xlws.FILTER('Autonomie 2023 MHDV'!$AL:$AL,('Autonomie 2023 MHDV'!$A:$A=$AA76)*('Autonomie 2023 MHDV'!$B:$B=AH$70)*('Autonomie 2023 MHDV'!$F:$F=$Z76)*('Autonomie 2023 MHDV'!$D:$D&lt;&gt;"School")))</f>
        <v>39697.498400570024</v>
      </c>
      <c r="AI76" s="85">
        <f t="shared" si="98"/>
        <v>-0.52247059310230703</v>
      </c>
    </row>
    <row r="77" spans="1:46" x14ac:dyDescent="0.25">
      <c r="A77" t="s">
        <v>1120</v>
      </c>
      <c r="B77" t="s">
        <v>95</v>
      </c>
      <c r="C77" t="s">
        <v>1644</v>
      </c>
      <c r="D77">
        <v>2022</v>
      </c>
      <c r="E77">
        <v>2018</v>
      </c>
      <c r="F77" t="s">
        <v>1781</v>
      </c>
      <c r="G77" s="259">
        <f t="shared" si="101"/>
        <v>1.3371624000000004</v>
      </c>
      <c r="H77">
        <v>2020</v>
      </c>
      <c r="I77" t="s">
        <v>1783</v>
      </c>
      <c r="J77" t="s">
        <v>2918</v>
      </c>
      <c r="K77" s="339">
        <f t="shared" ref="K77:Q78" si="103">$BG$6</f>
        <v>2722.8335661531196</v>
      </c>
      <c r="L77" s="340">
        <f t="shared" si="103"/>
        <v>2722.8335661531196</v>
      </c>
      <c r="M77" s="340">
        <f t="shared" si="103"/>
        <v>2722.8335661531196</v>
      </c>
      <c r="N77" s="340">
        <f t="shared" si="103"/>
        <v>2722.8335661531196</v>
      </c>
      <c r="O77" s="340">
        <f t="shared" si="103"/>
        <v>2722.8335661531196</v>
      </c>
      <c r="P77" s="340">
        <f t="shared" si="103"/>
        <v>2722.8335661531196</v>
      </c>
      <c r="Q77" s="340">
        <f t="shared" si="103"/>
        <v>2722.8335661531196</v>
      </c>
      <c r="R77" s="72" t="s">
        <v>1796</v>
      </c>
      <c r="S77" s="717">
        <v>4</v>
      </c>
      <c r="T77" s="377">
        <v>1</v>
      </c>
      <c r="U77" s="377">
        <v>1</v>
      </c>
      <c r="V77" s="377">
        <v>3</v>
      </c>
      <c r="W77" s="377">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97"/>
        <v>46370.111115065134</v>
      </c>
      <c r="AG77" s="195">
        <f t="shared" si="97"/>
        <v>44984.919207491846</v>
      </c>
      <c r="AH77" s="195" cm="1">
        <f t="array" ref="AH77">AVERAGE(_xlfn._xlws.FILTER('Autonomie 2023 MHDV'!$AL:$AL,('Autonomie 2023 MHDV'!$A:$A=$AA77)*('Autonomie 2023 MHDV'!$B:$B=AH$70)*('Autonomie 2023 MHDV'!$F:$F=$Z77)*('Autonomie 2023 MHDV'!$D:$D&lt;&gt;"School")))</f>
        <v>43599.727299918552</v>
      </c>
      <c r="AI77" s="85">
        <f t="shared" si="98"/>
        <v>-0.32992124596980216</v>
      </c>
    </row>
    <row r="78" spans="1:46" x14ac:dyDescent="0.25">
      <c r="A78" t="s">
        <v>1121</v>
      </c>
      <c r="B78" t="s">
        <v>95</v>
      </c>
      <c r="C78" t="s">
        <v>1644</v>
      </c>
      <c r="D78">
        <v>2022</v>
      </c>
      <c r="E78">
        <v>2018</v>
      </c>
      <c r="F78" t="s">
        <v>1781</v>
      </c>
      <c r="G78" s="259">
        <f t="shared" si="101"/>
        <v>1.3371624000000004</v>
      </c>
      <c r="H78">
        <v>2020</v>
      </c>
      <c r="I78" t="s">
        <v>1783</v>
      </c>
      <c r="J78" t="s">
        <v>2918</v>
      </c>
      <c r="K78" s="339">
        <f t="shared" si="103"/>
        <v>2722.8335661531196</v>
      </c>
      <c r="L78" s="340">
        <f t="shared" si="103"/>
        <v>2722.8335661531196</v>
      </c>
      <c r="M78" s="340">
        <f t="shared" si="103"/>
        <v>2722.8335661531196</v>
      </c>
      <c r="N78" s="340">
        <f t="shared" si="103"/>
        <v>2722.8335661531196</v>
      </c>
      <c r="O78" s="340">
        <f t="shared" si="103"/>
        <v>2722.8335661531196</v>
      </c>
      <c r="P78" s="340">
        <f t="shared" si="103"/>
        <v>2722.8335661531196</v>
      </c>
      <c r="Q78" s="340">
        <f t="shared" si="103"/>
        <v>2722.8335661531196</v>
      </c>
      <c r="R78" s="72" t="s">
        <v>1796</v>
      </c>
      <c r="S78" s="717">
        <v>4</v>
      </c>
      <c r="T78" s="377">
        <v>1</v>
      </c>
      <c r="U78" s="377">
        <v>1</v>
      </c>
      <c r="V78" s="377">
        <v>3</v>
      </c>
      <c r="W78" s="377">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97"/>
        <v>42011.628660504874</v>
      </c>
      <c r="AG78" s="195">
        <f t="shared" si="97"/>
        <v>40569.118467100961</v>
      </c>
      <c r="AH78" s="195" cm="1">
        <f t="array" ref="AH78">AVERAGE(_xlfn._xlws.FILTER('Autonomie 2023 MHDV'!$AL:$AL,('Autonomie 2023 MHDV'!$A:$A=$AA78)*('Autonomie 2023 MHDV'!$B:$B=AH$70)*('Autonomie 2023 MHDV'!$F:$F=$Z78)*('Autonomie 2023 MHDV'!$D:$D&lt;&gt;"School")))</f>
        <v>39126.608273697057</v>
      </c>
      <c r="AI78" s="85">
        <f t="shared" si="98"/>
        <v>-0.35189791694358463</v>
      </c>
    </row>
    <row r="79" spans="1:46" x14ac:dyDescent="0.25">
      <c r="A79" t="s">
        <v>1122</v>
      </c>
      <c r="B79" t="s">
        <v>95</v>
      </c>
      <c r="C79" t="s">
        <v>1644</v>
      </c>
      <c r="D79">
        <v>2022</v>
      </c>
      <c r="E79">
        <v>2018</v>
      </c>
      <c r="F79" t="s">
        <v>1781</v>
      </c>
      <c r="G79" s="259">
        <f t="shared" si="101"/>
        <v>1.3371624000000004</v>
      </c>
      <c r="H79">
        <v>2020</v>
      </c>
      <c r="I79" t="s">
        <v>1783</v>
      </c>
      <c r="J79" t="s">
        <v>2917</v>
      </c>
      <c r="K79" s="277">
        <f t="shared" ref="K79:Q79" si="104">$BC$16</f>
        <v>540.22328099966455</v>
      </c>
      <c r="L79" s="73">
        <f t="shared" si="104"/>
        <v>540.22328099966455</v>
      </c>
      <c r="M79" s="73">
        <f t="shared" si="104"/>
        <v>540.22328099966455</v>
      </c>
      <c r="N79" s="73">
        <f t="shared" si="104"/>
        <v>540.22328099966455</v>
      </c>
      <c r="O79" s="73">
        <f t="shared" si="104"/>
        <v>540.22328099966455</v>
      </c>
      <c r="P79" s="73">
        <f t="shared" si="104"/>
        <v>540.22328099966455</v>
      </c>
      <c r="Q79" s="73">
        <f t="shared" si="104"/>
        <v>540.22328099966455</v>
      </c>
      <c r="R79" s="72" t="s">
        <v>1795</v>
      </c>
      <c r="S79" s="717">
        <v>3</v>
      </c>
      <c r="T79" s="377">
        <v>1</v>
      </c>
      <c r="U79" s="377">
        <v>1</v>
      </c>
      <c r="V79" s="377">
        <v>3</v>
      </c>
      <c r="W79" s="377">
        <v>1</v>
      </c>
      <c r="Z79">
        <v>3</v>
      </c>
      <c r="AA79" s="28" t="s">
        <v>3993</v>
      </c>
      <c r="AB79" s="195"/>
      <c r="AC79" s="195"/>
      <c r="AD79" s="195"/>
      <c r="AE79" s="195"/>
      <c r="AF79" s="195"/>
      <c r="AG79" s="195"/>
      <c r="AH79" s="195"/>
      <c r="AI79" s="85"/>
    </row>
    <row r="80" spans="1:46" x14ac:dyDescent="0.25">
      <c r="A80" t="s">
        <v>1123</v>
      </c>
      <c r="B80" t="s">
        <v>95</v>
      </c>
      <c r="C80" t="s">
        <v>1644</v>
      </c>
      <c r="D80">
        <v>2022</v>
      </c>
      <c r="E80">
        <v>2018</v>
      </c>
      <c r="F80" t="s">
        <v>1781</v>
      </c>
      <c r="G80" s="259">
        <f t="shared" si="101"/>
        <v>1.3371624000000004</v>
      </c>
      <c r="H80">
        <v>2020</v>
      </c>
      <c r="I80" t="s">
        <v>1783</v>
      </c>
      <c r="J80" t="s">
        <v>2917</v>
      </c>
      <c r="K80" s="277"/>
      <c r="L80" s="73"/>
      <c r="M80" s="73">
        <f>$BE$17</f>
        <v>716.69641333068228</v>
      </c>
      <c r="N80" s="73">
        <f>$BE$17</f>
        <v>716.69641333068228</v>
      </c>
      <c r="O80" s="73">
        <f>$BE$17</f>
        <v>716.69641333068228</v>
      </c>
      <c r="P80" s="73">
        <f>$BE$17</f>
        <v>716.69641333068228</v>
      </c>
      <c r="Q80" s="73">
        <f>$BE$17</f>
        <v>716.69641333068228</v>
      </c>
      <c r="R80" s="72" t="s">
        <v>1795</v>
      </c>
      <c r="S80" s="717">
        <v>3</v>
      </c>
      <c r="T80" s="377">
        <v>1</v>
      </c>
      <c r="U80" s="377">
        <v>1</v>
      </c>
      <c r="V80" s="377">
        <v>3</v>
      </c>
      <c r="W80" s="377">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05">($AH80-$AE80)/3 + AE80</f>
        <v>56181.855283550474</v>
      </c>
      <c r="AG80" s="195">
        <f t="shared" si="105"/>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98"/>
        <v>6.2619336029729744E-3</v>
      </c>
    </row>
    <row r="81" spans="1:35" x14ac:dyDescent="0.25">
      <c r="A81" t="s">
        <v>1124</v>
      </c>
      <c r="B81" t="s">
        <v>95</v>
      </c>
      <c r="C81" t="s">
        <v>1644</v>
      </c>
      <c r="D81">
        <v>2022</v>
      </c>
      <c r="E81">
        <v>2018</v>
      </c>
      <c r="F81" t="s">
        <v>1781</v>
      </c>
      <c r="G81" s="259">
        <f t="shared" si="101"/>
        <v>1.3371624000000004</v>
      </c>
      <c r="H81">
        <v>2020</v>
      </c>
      <c r="I81" t="s">
        <v>1783</v>
      </c>
      <c r="J81" t="s">
        <v>2918</v>
      </c>
      <c r="K81" s="277">
        <f t="shared" ref="K81:Q81" si="106">$BC$19</f>
        <v>27.214521014577411</v>
      </c>
      <c r="L81" s="73">
        <f t="shared" si="106"/>
        <v>27.214521014577411</v>
      </c>
      <c r="M81" s="73">
        <f t="shared" si="106"/>
        <v>27.214521014577411</v>
      </c>
      <c r="N81" s="73">
        <f t="shared" si="106"/>
        <v>27.214521014577411</v>
      </c>
      <c r="O81" s="73">
        <f t="shared" si="106"/>
        <v>27.214521014577411</v>
      </c>
      <c r="P81" s="73">
        <f t="shared" si="106"/>
        <v>27.214521014577411</v>
      </c>
      <c r="Q81" s="73">
        <f t="shared" si="106"/>
        <v>27.214521014577411</v>
      </c>
      <c r="R81" s="72" t="s">
        <v>1795</v>
      </c>
      <c r="S81" s="717">
        <v>3</v>
      </c>
      <c r="T81" s="377">
        <v>1</v>
      </c>
      <c r="U81" s="377">
        <v>1</v>
      </c>
      <c r="V81" s="377">
        <v>3</v>
      </c>
      <c r="W81" s="377">
        <v>1</v>
      </c>
      <c r="Z81">
        <v>3</v>
      </c>
      <c r="AA81" s="17" t="s">
        <v>3979</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05"/>
        <v>60414.874379125933</v>
      </c>
      <c r="AG81" s="195">
        <f t="shared" si="105"/>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98"/>
        <v>3.4714934722104629E-2</v>
      </c>
    </row>
    <row r="82" spans="1:35" x14ac:dyDescent="0.25">
      <c r="A82" t="s">
        <v>1125</v>
      </c>
      <c r="B82" t="s">
        <v>95</v>
      </c>
      <c r="C82" t="s">
        <v>1644</v>
      </c>
      <c r="D82">
        <v>2022</v>
      </c>
      <c r="E82">
        <v>2018</v>
      </c>
      <c r="F82" t="s">
        <v>1781</v>
      </c>
      <c r="G82" s="259">
        <f t="shared" si="101"/>
        <v>1.3371624000000004</v>
      </c>
      <c r="H82">
        <v>2020</v>
      </c>
      <c r="I82" t="s">
        <v>1783</v>
      </c>
      <c r="J82" t="s">
        <v>2918</v>
      </c>
      <c r="K82" s="277"/>
      <c r="L82" s="73"/>
      <c r="M82" s="73">
        <f>$BE$20</f>
        <v>52.505882544124681</v>
      </c>
      <c r="N82" s="73">
        <f>$BE$20</f>
        <v>52.505882544124681</v>
      </c>
      <c r="O82" s="73">
        <f>$BE$20</f>
        <v>52.505882544124681</v>
      </c>
      <c r="P82" s="73">
        <f>$BE$20</f>
        <v>52.505882544124681</v>
      </c>
      <c r="Q82" s="73">
        <f>$BE$20</f>
        <v>52.505882544124681</v>
      </c>
      <c r="R82" s="72" t="s">
        <v>1795</v>
      </c>
      <c r="S82" s="717">
        <v>3</v>
      </c>
      <c r="T82" s="377">
        <v>1</v>
      </c>
      <c r="U82" s="377">
        <v>1</v>
      </c>
      <c r="V82" s="377">
        <v>3</v>
      </c>
      <c r="W82" s="377">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05"/>
        <v>53668.384762893576</v>
      </c>
      <c r="AG82" s="195">
        <f t="shared" si="105"/>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98"/>
        <v>-3.772041946700741E-2</v>
      </c>
    </row>
    <row r="83" spans="1:35" x14ac:dyDescent="0.25">
      <c r="A83" t="s">
        <v>1130</v>
      </c>
      <c r="B83" t="s">
        <v>95</v>
      </c>
      <c r="C83" t="s">
        <v>1644</v>
      </c>
      <c r="D83">
        <v>2022</v>
      </c>
      <c r="E83">
        <v>2018</v>
      </c>
      <c r="F83" t="s">
        <v>1781</v>
      </c>
      <c r="G83" s="259">
        <f t="shared" si="101"/>
        <v>1.3371624000000004</v>
      </c>
      <c r="H83">
        <v>2020</v>
      </c>
      <c r="I83" t="s">
        <v>1783</v>
      </c>
      <c r="J83" t="s">
        <v>2918</v>
      </c>
      <c r="K83" s="277"/>
      <c r="L83" s="73">
        <f t="shared" ref="L83:Q83" si="107">$BD$21</f>
        <v>44.994442098748571</v>
      </c>
      <c r="M83" s="73">
        <f t="shared" si="107"/>
        <v>44.994442098748571</v>
      </c>
      <c r="N83" s="73">
        <f t="shared" si="107"/>
        <v>44.994442098748571</v>
      </c>
      <c r="O83" s="73">
        <f t="shared" si="107"/>
        <v>44.994442098748571</v>
      </c>
      <c r="P83" s="73">
        <f t="shared" si="107"/>
        <v>44.994442098748571</v>
      </c>
      <c r="Q83" s="73">
        <f t="shared" si="107"/>
        <v>44.994442098748571</v>
      </c>
      <c r="R83" s="72" t="s">
        <v>1795</v>
      </c>
      <c r="S83" s="717">
        <v>3</v>
      </c>
      <c r="T83" s="377">
        <v>1</v>
      </c>
      <c r="U83" s="377">
        <v>1</v>
      </c>
      <c r="V83" s="377">
        <v>3</v>
      </c>
      <c r="W83" s="377">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05"/>
        <v>61224.208575054261</v>
      </c>
      <c r="AG83" s="195">
        <f t="shared" si="105"/>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98"/>
        <v>-0.44222446821379935</v>
      </c>
    </row>
    <row r="84" spans="1:35" x14ac:dyDescent="0.25">
      <c r="A84" t="s">
        <v>1293</v>
      </c>
      <c r="B84" t="s">
        <v>95</v>
      </c>
      <c r="C84" t="s">
        <v>1644</v>
      </c>
      <c r="D84">
        <v>2022</v>
      </c>
      <c r="E84">
        <v>2018</v>
      </c>
      <c r="F84" t="s">
        <v>1781</v>
      </c>
      <c r="G84" s="259">
        <f t="shared" si="101"/>
        <v>1.3371624000000004</v>
      </c>
      <c r="H84">
        <v>2020</v>
      </c>
      <c r="I84" t="s">
        <v>1783</v>
      </c>
      <c r="J84" t="s">
        <v>2918</v>
      </c>
      <c r="K84" s="277">
        <f t="shared" ref="K84:Q84" si="108">$BC$24</f>
        <v>21.111052987350504</v>
      </c>
      <c r="L84" s="73">
        <f t="shared" si="108"/>
        <v>21.111052987350504</v>
      </c>
      <c r="M84" s="73">
        <f t="shared" si="108"/>
        <v>21.111052987350504</v>
      </c>
      <c r="N84" s="73">
        <f t="shared" si="108"/>
        <v>21.111052987350504</v>
      </c>
      <c r="O84" s="73">
        <f t="shared" si="108"/>
        <v>21.111052987350504</v>
      </c>
      <c r="P84" s="73">
        <f t="shared" si="108"/>
        <v>21.111052987350504</v>
      </c>
      <c r="Q84" s="73">
        <f t="shared" si="108"/>
        <v>21.111052987350504</v>
      </c>
      <c r="R84" s="72" t="s">
        <v>1805</v>
      </c>
      <c r="S84" s="717">
        <v>3</v>
      </c>
      <c r="T84" s="377">
        <v>1</v>
      </c>
      <c r="U84" s="377">
        <v>1</v>
      </c>
      <c r="V84" s="377">
        <v>2</v>
      </c>
      <c r="W84" s="377">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05"/>
        <v>50595.48777252985</v>
      </c>
      <c r="AG84" s="195">
        <f t="shared" si="105"/>
        <v>46828.402653773068</v>
      </c>
      <c r="AH84" s="195" cm="1">
        <f t="array" ref="AH84">AVERAGE(_xlfn._xlws.FILTER('Autonomie 2023 MHDV'!$AL:$AL,('Autonomie 2023 MHDV'!$A:$A=$AA84)*('Autonomie 2023 MHDV'!$B:$B=AH$70)*('Autonomie 2023 MHDV'!$F:$F=$Z84)*('Autonomie 2023 MHDV'!$D:$D&lt;&gt;"School")))</f>
        <v>43061.317535016278</v>
      </c>
      <c r="AI84" s="85">
        <f t="shared" si="98"/>
        <v>-0.53508616315096802</v>
      </c>
    </row>
    <row r="85" spans="1:35" x14ac:dyDescent="0.25">
      <c r="A85" t="s">
        <v>1294</v>
      </c>
      <c r="B85" t="s">
        <v>95</v>
      </c>
      <c r="C85" t="s">
        <v>1644</v>
      </c>
      <c r="D85">
        <v>2022</v>
      </c>
      <c r="E85">
        <v>2018</v>
      </c>
      <c r="F85" t="s">
        <v>1781</v>
      </c>
      <c r="G85" s="259">
        <f t="shared" si="101"/>
        <v>1.3371624000000004</v>
      </c>
      <c r="H85">
        <v>2020</v>
      </c>
      <c r="I85" t="s">
        <v>1783</v>
      </c>
      <c r="J85" t="s">
        <v>2918</v>
      </c>
      <c r="K85" s="277">
        <f t="shared" ref="K85:Q85" si="109">$BC$23</f>
        <v>27.509018269206326</v>
      </c>
      <c r="L85" s="73">
        <f t="shared" si="109"/>
        <v>27.509018269206326</v>
      </c>
      <c r="M85" s="73">
        <f t="shared" si="109"/>
        <v>27.509018269206326</v>
      </c>
      <c r="N85" s="73">
        <f t="shared" si="109"/>
        <v>27.509018269206326</v>
      </c>
      <c r="O85" s="73">
        <f t="shared" si="109"/>
        <v>27.509018269206326</v>
      </c>
      <c r="P85" s="73">
        <f t="shared" si="109"/>
        <v>27.509018269206326</v>
      </c>
      <c r="Q85" s="73">
        <f t="shared" si="109"/>
        <v>27.509018269206326</v>
      </c>
      <c r="R85" s="72" t="s">
        <v>1805</v>
      </c>
      <c r="S85" s="717">
        <v>3</v>
      </c>
      <c r="T85" s="377">
        <v>1</v>
      </c>
      <c r="U85" s="377">
        <v>1</v>
      </c>
      <c r="V85" s="377">
        <v>2</v>
      </c>
      <c r="W85" s="377">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05"/>
        <v>54408.809641856664</v>
      </c>
      <c r="AG85" s="195">
        <f t="shared" si="105"/>
        <v>52601.755150570018</v>
      </c>
      <c r="AH85" s="195" cm="1">
        <f t="array" ref="AH85">AVERAGE(_xlfn._xlws.FILTER('Autonomie 2023 MHDV'!$AL:$AL,('Autonomie 2023 MHDV'!$A:$A=$AA85)*('Autonomie 2023 MHDV'!$B:$B=AH$70)*('Autonomie 2023 MHDV'!$F:$F=$Z85)*('Autonomie 2023 MHDV'!$D:$D&lt;&gt;"School")))</f>
        <v>50794.700659283371</v>
      </c>
      <c r="AI85" s="85">
        <f t="shared" si="98"/>
        <v>-0.36524126733997087</v>
      </c>
    </row>
    <row r="86" spans="1:35" x14ac:dyDescent="0.25">
      <c r="A86" t="s">
        <v>1295</v>
      </c>
      <c r="B86" t="s">
        <v>95</v>
      </c>
      <c r="C86" t="s">
        <v>1644</v>
      </c>
      <c r="D86">
        <v>2022</v>
      </c>
      <c r="E86">
        <v>2018</v>
      </c>
      <c r="F86" t="s">
        <v>1781</v>
      </c>
      <c r="G86" s="259">
        <f t="shared" si="101"/>
        <v>1.3371624000000004</v>
      </c>
      <c r="H86">
        <v>2020</v>
      </c>
      <c r="I86" t="s">
        <v>1783</v>
      </c>
      <c r="J86" t="s">
        <v>2918</v>
      </c>
      <c r="K86" s="277"/>
      <c r="L86" s="73">
        <f t="shared" ref="L86:Q86" si="110">$BD$25</f>
        <v>30.456413083764147</v>
      </c>
      <c r="M86" s="73">
        <f t="shared" si="110"/>
        <v>30.456413083764147</v>
      </c>
      <c r="N86" s="73">
        <f t="shared" si="110"/>
        <v>30.456413083764147</v>
      </c>
      <c r="O86" s="73">
        <f t="shared" si="110"/>
        <v>30.456413083764147</v>
      </c>
      <c r="P86" s="73">
        <f t="shared" si="110"/>
        <v>30.456413083764147</v>
      </c>
      <c r="Q86" s="73">
        <f t="shared" si="110"/>
        <v>30.456413083764147</v>
      </c>
      <c r="R86" s="72" t="s">
        <v>1805</v>
      </c>
      <c r="S86" s="717">
        <v>3</v>
      </c>
      <c r="T86" s="377">
        <v>1</v>
      </c>
      <c r="U86" s="377">
        <v>1</v>
      </c>
      <c r="V86" s="377">
        <v>2</v>
      </c>
      <c r="W86" s="377">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05"/>
        <v>46718.224171009759</v>
      </c>
      <c r="AG86" s="195">
        <f t="shared" si="105"/>
        <v>44676.928951628652</v>
      </c>
      <c r="AH86" s="195" cm="1">
        <f t="array" ref="AH86">AVERAGE(_xlfn._xlws.FILTER('Autonomie 2023 MHDV'!$AL:$AL,('Autonomie 2023 MHDV'!$A:$A=$AA86)*('Autonomie 2023 MHDV'!$B:$B=AH$70)*('Autonomie 2023 MHDV'!$F:$F=$Z86)*('Autonomie 2023 MHDV'!$D:$D&lt;&gt;"School")))</f>
        <v>42635.633732247545</v>
      </c>
      <c r="AI86" s="85">
        <f t="shared" si="98"/>
        <v>-0.39280019591303633</v>
      </c>
    </row>
    <row r="87" spans="1:35" x14ac:dyDescent="0.25">
      <c r="A87" t="s">
        <v>4768</v>
      </c>
      <c r="B87" t="s">
        <v>95</v>
      </c>
      <c r="C87" t="s">
        <v>1644</v>
      </c>
      <c r="D87">
        <v>2022</v>
      </c>
      <c r="E87">
        <v>2018</v>
      </c>
      <c r="F87" t="s">
        <v>1781</v>
      </c>
      <c r="G87" s="259">
        <f t="shared" si="101"/>
        <v>1.3371624000000004</v>
      </c>
      <c r="H87">
        <v>2020</v>
      </c>
      <c r="I87" t="s">
        <v>1783</v>
      </c>
      <c r="J87" t="s">
        <v>2916</v>
      </c>
      <c r="K87" s="277">
        <f>AL71</f>
        <v>423.88048080000016</v>
      </c>
      <c r="L87" s="73">
        <f t="shared" ref="L87:Q87" si="111">AM71</f>
        <v>348.99938640000011</v>
      </c>
      <c r="M87" s="73">
        <f t="shared" si="111"/>
        <v>274.11829200000011</v>
      </c>
      <c r="N87" s="73">
        <f t="shared" si="111"/>
        <v>274.11829200000011</v>
      </c>
      <c r="O87" s="73">
        <f t="shared" si="111"/>
        <v>274.11829200000011</v>
      </c>
      <c r="P87" s="73">
        <f t="shared" si="111"/>
        <v>274.11829200000011</v>
      </c>
      <c r="Q87" s="73">
        <f t="shared" si="111"/>
        <v>274.11829200000011</v>
      </c>
      <c r="R87" s="72" t="s">
        <v>1855</v>
      </c>
      <c r="S87" s="717">
        <v>3</v>
      </c>
      <c r="T87" s="377">
        <v>1</v>
      </c>
      <c r="U87" s="377">
        <v>1</v>
      </c>
      <c r="V87" s="377">
        <v>3</v>
      </c>
      <c r="W87" s="377">
        <v>1</v>
      </c>
      <c r="Z87">
        <v>4</v>
      </c>
      <c r="AA87" s="28" t="s">
        <v>3994</v>
      </c>
      <c r="AB87" s="195"/>
      <c r="AC87" s="195"/>
      <c r="AD87" s="195"/>
      <c r="AE87" s="195"/>
      <c r="AF87" s="195"/>
      <c r="AG87" s="195"/>
      <c r="AH87" s="195"/>
      <c r="AI87" s="85"/>
    </row>
    <row r="88" spans="1:35" x14ac:dyDescent="0.25">
      <c r="A88" t="s">
        <v>4769</v>
      </c>
      <c r="B88" t="s">
        <v>95</v>
      </c>
      <c r="C88" t="s">
        <v>1644</v>
      </c>
      <c r="D88">
        <v>2022</v>
      </c>
      <c r="E88">
        <v>2018</v>
      </c>
      <c r="F88" t="s">
        <v>1781</v>
      </c>
      <c r="G88" s="259">
        <f t="shared" si="101"/>
        <v>1.3371624000000004</v>
      </c>
      <c r="H88">
        <v>2020</v>
      </c>
      <c r="I88" t="s">
        <v>1783</v>
      </c>
      <c r="J88" t="s">
        <v>2916</v>
      </c>
      <c r="K88" s="277">
        <f t="shared" ref="K88:Q89" si="112">AL71</f>
        <v>423.88048080000016</v>
      </c>
      <c r="L88" s="73">
        <f t="shared" si="112"/>
        <v>348.99938640000011</v>
      </c>
      <c r="M88" s="73">
        <f t="shared" si="112"/>
        <v>274.11829200000011</v>
      </c>
      <c r="N88" s="73">
        <f t="shared" si="112"/>
        <v>274.11829200000011</v>
      </c>
      <c r="O88" s="73">
        <f t="shared" si="112"/>
        <v>274.11829200000011</v>
      </c>
      <c r="P88" s="73">
        <f t="shared" si="112"/>
        <v>274.11829200000011</v>
      </c>
      <c r="Q88" s="73">
        <f t="shared" si="112"/>
        <v>274.11829200000011</v>
      </c>
      <c r="R88" s="72" t="s">
        <v>1855</v>
      </c>
      <c r="S88" s="717">
        <v>3</v>
      </c>
      <c r="T88" s="377">
        <v>1</v>
      </c>
      <c r="U88" s="377">
        <v>1</v>
      </c>
      <c r="V88" s="377">
        <v>3</v>
      </c>
      <c r="W88" s="377">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3">($AH88-$AE88)/3 + AE88</f>
        <v>61591.809848181307</v>
      </c>
      <c r="AG88" s="195">
        <f t="shared" si="113"/>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4">(AH88-AB88)/AB88</f>
        <v>4.4132222132185041E-3</v>
      </c>
    </row>
    <row r="89" spans="1:35" x14ac:dyDescent="0.25">
      <c r="A89" t="s">
        <v>1825</v>
      </c>
      <c r="B89" t="s">
        <v>95</v>
      </c>
      <c r="C89" t="s">
        <v>1644</v>
      </c>
      <c r="D89">
        <v>2022</v>
      </c>
      <c r="E89">
        <v>2018</v>
      </c>
      <c r="F89" t="s">
        <v>1781</v>
      </c>
      <c r="G89" s="259">
        <f t="shared" si="101"/>
        <v>1.3371624000000004</v>
      </c>
      <c r="H89">
        <v>2020</v>
      </c>
      <c r="I89" t="s">
        <v>1783</v>
      </c>
      <c r="J89" t="s">
        <v>2916</v>
      </c>
      <c r="K89" s="277">
        <f t="shared" si="112"/>
        <v>133.87669948800004</v>
      </c>
      <c r="L89" s="73">
        <f t="shared" si="112"/>
        <v>133.87669948800004</v>
      </c>
      <c r="M89" s="73">
        <f t="shared" si="112"/>
        <v>133.87669948800004</v>
      </c>
      <c r="N89" s="73">
        <f t="shared" si="112"/>
        <v>133.87669948800004</v>
      </c>
      <c r="O89" s="73">
        <f t="shared" si="112"/>
        <v>133.87669948800004</v>
      </c>
      <c r="P89" s="73">
        <f t="shared" si="112"/>
        <v>133.87669948800004</v>
      </c>
      <c r="Q89" s="73">
        <f t="shared" si="112"/>
        <v>133.87669948800004</v>
      </c>
      <c r="R89" s="72" t="s">
        <v>1856</v>
      </c>
      <c r="S89" s="717">
        <v>3</v>
      </c>
      <c r="T89" s="377">
        <v>1</v>
      </c>
      <c r="U89" s="377">
        <v>1</v>
      </c>
      <c r="V89" s="377">
        <v>3</v>
      </c>
      <c r="W89" s="377">
        <v>1</v>
      </c>
      <c r="Z89">
        <v>4</v>
      </c>
      <c r="AA89" s="17" t="s">
        <v>3979</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3"/>
        <v>66215.61227915308</v>
      </c>
      <c r="AG89" s="195">
        <f t="shared" si="113"/>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4"/>
        <v>2.2484803191770947E-2</v>
      </c>
    </row>
    <row r="90" spans="1:35" x14ac:dyDescent="0.25">
      <c r="A90" t="s">
        <v>1821</v>
      </c>
      <c r="B90" t="s">
        <v>95</v>
      </c>
      <c r="C90" t="s">
        <v>1644</v>
      </c>
      <c r="D90">
        <v>2022</v>
      </c>
      <c r="E90">
        <v>2018</v>
      </c>
      <c r="F90" t="s">
        <v>1781</v>
      </c>
      <c r="G90" s="259">
        <f t="shared" si="101"/>
        <v>1.3371624000000004</v>
      </c>
      <c r="H90">
        <v>2020</v>
      </c>
      <c r="I90" t="s">
        <v>1783</v>
      </c>
      <c r="J90" t="s">
        <v>2916</v>
      </c>
      <c r="K90" s="277">
        <f t="shared" ref="K90:Q90" si="115">AL72</f>
        <v>133.87669948800004</v>
      </c>
      <c r="L90" s="73">
        <f t="shared" si="115"/>
        <v>133.87669948800004</v>
      </c>
      <c r="M90" s="73">
        <f t="shared" si="115"/>
        <v>133.87669948800004</v>
      </c>
      <c r="N90" s="73">
        <f t="shared" si="115"/>
        <v>133.87669948800004</v>
      </c>
      <c r="O90" s="73">
        <f t="shared" si="115"/>
        <v>133.87669948800004</v>
      </c>
      <c r="P90" s="73">
        <f t="shared" si="115"/>
        <v>133.87669948800004</v>
      </c>
      <c r="Q90" s="73">
        <f t="shared" si="115"/>
        <v>133.87669948800004</v>
      </c>
      <c r="R90" s="72" t="s">
        <v>1856</v>
      </c>
      <c r="S90" s="717">
        <v>3</v>
      </c>
      <c r="T90" s="377">
        <v>1</v>
      </c>
      <c r="U90" s="377">
        <v>1</v>
      </c>
      <c r="V90" s="377">
        <v>3</v>
      </c>
      <c r="W90" s="377">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3"/>
        <v>67576.093636834936</v>
      </c>
      <c r="AG90" s="195">
        <f t="shared" si="113"/>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4"/>
        <v>-3.4634598406457502E-2</v>
      </c>
    </row>
    <row r="91" spans="1:35" x14ac:dyDescent="0.25">
      <c r="A91" t="s">
        <v>1870</v>
      </c>
      <c r="B91" t="s">
        <v>95</v>
      </c>
      <c r="C91" t="s">
        <v>1644</v>
      </c>
      <c r="D91">
        <v>2022</v>
      </c>
      <c r="E91">
        <v>2018</v>
      </c>
      <c r="F91" t="s">
        <v>1781</v>
      </c>
      <c r="G91" s="259">
        <f t="shared" si="101"/>
        <v>1.3371624000000004</v>
      </c>
      <c r="H91">
        <v>2020</v>
      </c>
      <c r="I91" t="s">
        <v>1783</v>
      </c>
      <c r="J91" t="s">
        <v>2916</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1910</v>
      </c>
      <c r="S91" s="717">
        <v>3</v>
      </c>
      <c r="T91" s="377">
        <v>1</v>
      </c>
      <c r="U91" s="377">
        <v>1</v>
      </c>
      <c r="V91" s="377">
        <v>3</v>
      </c>
      <c r="W91" s="377">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3"/>
        <v>77065.836412920704</v>
      </c>
      <c r="AG91" s="195">
        <f t="shared" si="113"/>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4"/>
        <v>-0.4342065293979489</v>
      </c>
    </row>
    <row r="92" spans="1:35" x14ac:dyDescent="0.25">
      <c r="A92" t="s">
        <v>1871</v>
      </c>
      <c r="B92" t="s">
        <v>95</v>
      </c>
      <c r="C92" t="s">
        <v>1644</v>
      </c>
      <c r="D92">
        <v>2022</v>
      </c>
      <c r="E92">
        <v>2018</v>
      </c>
      <c r="F92" t="s">
        <v>1781</v>
      </c>
      <c r="G92" s="259">
        <f t="shared" si="101"/>
        <v>1.3371624000000004</v>
      </c>
      <c r="H92">
        <v>2020</v>
      </c>
      <c r="I92" t="s">
        <v>1783</v>
      </c>
      <c r="J92" t="s">
        <v>2916</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1911</v>
      </c>
      <c r="S92" s="717">
        <v>3</v>
      </c>
      <c r="T92" s="377">
        <v>1</v>
      </c>
      <c r="U92" s="377">
        <v>1</v>
      </c>
      <c r="V92" s="377">
        <v>3</v>
      </c>
      <c r="W92" s="377">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3"/>
        <v>67357.137784961989</v>
      </c>
      <c r="AG92" s="195">
        <f t="shared" si="113"/>
        <v>62791.290509663399</v>
      </c>
      <c r="AH92" s="195" cm="1">
        <f t="array" ref="AH92">AVERAGE(_xlfn._xlws.FILTER('Autonomie 2023 MHDV'!$AL:$AL,('Autonomie 2023 MHDV'!$A:$A=$AA92)*('Autonomie 2023 MHDV'!$B:$B=AH$70)*('Autonomie 2023 MHDV'!$F:$F=$Z92)*('Autonomie 2023 MHDV'!$D:$D&lt;&gt;"School")))</f>
        <v>58225.4432343648</v>
      </c>
      <c r="AI92" s="85">
        <f t="shared" si="114"/>
        <v>-0.51478811346469833</v>
      </c>
    </row>
    <row r="93" spans="1:35" x14ac:dyDescent="0.25">
      <c r="A93" t="s">
        <v>1872</v>
      </c>
      <c r="B93" t="s">
        <v>95</v>
      </c>
      <c r="C93" t="s">
        <v>1644</v>
      </c>
      <c r="D93">
        <v>2022</v>
      </c>
      <c r="E93">
        <v>2018</v>
      </c>
      <c r="F93" t="s">
        <v>1781</v>
      </c>
      <c r="G93" s="259">
        <f t="shared" si="101"/>
        <v>1.3371624000000004</v>
      </c>
      <c r="H93">
        <v>2020</v>
      </c>
      <c r="I93" t="s">
        <v>1783</v>
      </c>
      <c r="J93" t="s">
        <v>2916</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1910</v>
      </c>
      <c r="S93" s="717">
        <v>3</v>
      </c>
      <c r="T93" s="377">
        <v>1</v>
      </c>
      <c r="U93" s="377">
        <v>1</v>
      </c>
      <c r="V93" s="377">
        <v>3</v>
      </c>
      <c r="W93" s="377">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3"/>
        <v>66918.843959310514</v>
      </c>
      <c r="AG93" s="195">
        <f t="shared" si="113"/>
        <v>64921.620133034725</v>
      </c>
      <c r="AH93" s="195" cm="1">
        <f t="array" ref="AH93">AVERAGE(_xlfn._xlws.FILTER('Autonomie 2023 MHDV'!$AL:$AL,('Autonomie 2023 MHDV'!$A:$A=$AA93)*('Autonomie 2023 MHDV'!$B:$B=AH$70)*('Autonomie 2023 MHDV'!$F:$F=$Z93)*('Autonomie 2023 MHDV'!$D:$D&lt;&gt;"School")))</f>
        <v>62924.396306758943</v>
      </c>
      <c r="AI93" s="85">
        <f t="shared" si="114"/>
        <v>-0.33210438365943079</v>
      </c>
    </row>
    <row r="94" spans="1:35" x14ac:dyDescent="0.25">
      <c r="A94" t="s">
        <v>2882</v>
      </c>
      <c r="B94" t="s">
        <v>95</v>
      </c>
      <c r="C94" t="s">
        <v>1644</v>
      </c>
      <c r="D94">
        <v>2022</v>
      </c>
      <c r="E94">
        <v>2018</v>
      </c>
      <c r="F94" t="s">
        <v>1781</v>
      </c>
      <c r="G94" s="259">
        <f t="shared" si="101"/>
        <v>1.3371624000000004</v>
      </c>
      <c r="H94">
        <v>2020</v>
      </c>
      <c r="I94" t="s">
        <v>1783</v>
      </c>
      <c r="J94" t="s">
        <v>2013</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1910</v>
      </c>
      <c r="S94" s="717">
        <v>3</v>
      </c>
      <c r="T94" s="377">
        <v>1</v>
      </c>
      <c r="U94" s="377">
        <v>1</v>
      </c>
      <c r="V94" s="377">
        <v>3</v>
      </c>
      <c r="W94" s="377">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3"/>
        <v>60023.326799918548</v>
      </c>
      <c r="AG94" s="195">
        <f t="shared" si="113"/>
        <v>57920.50995374591</v>
      </c>
      <c r="AH94" s="195" cm="1">
        <f t="array" ref="AH94">AVERAGE(_xlfn._xlws.FILTER('Autonomie 2023 MHDV'!$AL:$AL,('Autonomie 2023 MHDV'!$A:$A=$AA94)*('Autonomie 2023 MHDV'!$B:$B=AH$70)*('Autonomie 2023 MHDV'!$F:$F=$Z94)*('Autonomie 2023 MHDV'!$D:$D&lt;&gt;"School")))</f>
        <v>55817.693107573279</v>
      </c>
      <c r="AI94" s="85">
        <f t="shared" si="114"/>
        <v>-0.34377526999586688</v>
      </c>
    </row>
    <row r="95" spans="1:35" x14ac:dyDescent="0.25">
      <c r="A95" t="s">
        <v>1869</v>
      </c>
      <c r="B95" t="s">
        <v>95</v>
      </c>
      <c r="C95" t="s">
        <v>1644</v>
      </c>
      <c r="D95">
        <v>2022</v>
      </c>
      <c r="E95">
        <v>2018</v>
      </c>
      <c r="F95" t="s">
        <v>1781</v>
      </c>
      <c r="G95" s="259">
        <f t="shared" si="101"/>
        <v>1.3371624000000004</v>
      </c>
      <c r="H95">
        <v>2020</v>
      </c>
      <c r="I95" t="s">
        <v>1783</v>
      </c>
      <c r="J95" t="s">
        <v>2013</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1910</v>
      </c>
      <c r="S95" s="717">
        <v>3</v>
      </c>
      <c r="T95" s="377">
        <v>1</v>
      </c>
      <c r="U95" s="377">
        <v>1</v>
      </c>
      <c r="V95" s="377">
        <v>3</v>
      </c>
      <c r="W95" s="377">
        <v>1</v>
      </c>
      <c r="Z95">
        <v>5</v>
      </c>
      <c r="AA95" s="28" t="s">
        <v>3995</v>
      </c>
      <c r="AB95" s="195"/>
      <c r="AC95" s="195"/>
      <c r="AD95" s="195"/>
      <c r="AE95" s="195"/>
      <c r="AF95" s="195"/>
      <c r="AG95" s="195"/>
      <c r="AH95" s="195"/>
      <c r="AI95" s="85"/>
    </row>
    <row r="96" spans="1:35" x14ac:dyDescent="0.25">
      <c r="A96" t="s">
        <v>2886</v>
      </c>
      <c r="B96" t="s">
        <v>95</v>
      </c>
      <c r="C96" t="s">
        <v>1644</v>
      </c>
      <c r="D96">
        <v>2022</v>
      </c>
      <c r="E96">
        <v>2018</v>
      </c>
      <c r="F96" t="s">
        <v>1781</v>
      </c>
      <c r="G96" s="259">
        <f t="shared" si="101"/>
        <v>1.3371624000000004</v>
      </c>
      <c r="H96">
        <v>2020</v>
      </c>
      <c r="I96" t="s">
        <v>1783</v>
      </c>
      <c r="J96" t="s">
        <v>2013</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2931</v>
      </c>
      <c r="S96" s="717">
        <v>3</v>
      </c>
      <c r="T96" s="377">
        <v>1</v>
      </c>
      <c r="U96" s="377">
        <v>1</v>
      </c>
      <c r="V96" s="377">
        <v>3</v>
      </c>
      <c r="W96" s="377">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16">($AH96-$AE96)/3 + AE96</f>
        <v>72496.550040472284</v>
      </c>
      <c r="AG96" s="195">
        <f t="shared" si="116"/>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17">(AH96-AB96)/AB96</f>
        <v>1.1234339043722905E-2</v>
      </c>
    </row>
    <row r="97" spans="1:35" x14ac:dyDescent="0.25">
      <c r="A97" t="s">
        <v>2902</v>
      </c>
      <c r="B97" t="s">
        <v>95</v>
      </c>
      <c r="C97" t="s">
        <v>1644</v>
      </c>
      <c r="D97">
        <v>2022</v>
      </c>
      <c r="E97">
        <v>2018</v>
      </c>
      <c r="F97" t="s">
        <v>1781</v>
      </c>
      <c r="G97" s="259">
        <f t="shared" si="101"/>
        <v>1.3371624000000004</v>
      </c>
      <c r="H97">
        <v>2020</v>
      </c>
      <c r="I97" t="s">
        <v>1783</v>
      </c>
      <c r="J97" t="s">
        <v>2013</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4753</v>
      </c>
      <c r="S97" s="717">
        <v>3</v>
      </c>
      <c r="T97" s="377">
        <v>1</v>
      </c>
      <c r="U97" s="377">
        <v>1</v>
      </c>
      <c r="V97" s="377">
        <v>3</v>
      </c>
      <c r="W97" s="377">
        <v>1</v>
      </c>
      <c r="Z97">
        <v>5</v>
      </c>
      <c r="AA97" s="17" t="s">
        <v>3979</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16"/>
        <v>78310.152711319199</v>
      </c>
      <c r="AG97" s="195">
        <f t="shared" si="116"/>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17"/>
        <v>7.8571849755292248E-3</v>
      </c>
    </row>
    <row r="98" spans="1:35" x14ac:dyDescent="0.25">
      <c r="A98" t="s">
        <v>4689</v>
      </c>
      <c r="B98" t="s">
        <v>95</v>
      </c>
      <c r="C98" t="s">
        <v>4742</v>
      </c>
      <c r="D98">
        <v>2023</v>
      </c>
      <c r="E98">
        <v>2021</v>
      </c>
      <c r="F98" t="s">
        <v>1781</v>
      </c>
      <c r="G98" s="259">
        <f>USD2021_to_CAD2020</f>
        <v>1.1642034728406054</v>
      </c>
      <c r="H98">
        <v>2020</v>
      </c>
      <c r="I98" t="s">
        <v>1783</v>
      </c>
      <c r="J98" t="s">
        <v>2013</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4747</v>
      </c>
      <c r="S98" s="717">
        <v>2</v>
      </c>
      <c r="T98" s="377">
        <v>1</v>
      </c>
      <c r="U98" s="377">
        <v>1</v>
      </c>
      <c r="V98" s="377">
        <v>3</v>
      </c>
      <c r="W98" s="377">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16"/>
        <v>77239.829253908771</v>
      </c>
      <c r="AG98" s="195">
        <f t="shared" si="116"/>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17"/>
        <v>-4.9942651619206656E-2</v>
      </c>
    </row>
    <row r="99" spans="1:35" x14ac:dyDescent="0.25">
      <c r="A99" t="s">
        <v>4690</v>
      </c>
      <c r="B99" t="s">
        <v>95</v>
      </c>
      <c r="C99" t="s">
        <v>4742</v>
      </c>
      <c r="D99">
        <v>2023</v>
      </c>
      <c r="E99">
        <v>2021</v>
      </c>
      <c r="F99" t="s">
        <v>1781</v>
      </c>
      <c r="G99" s="259">
        <f>USD2021_to_CAD2020</f>
        <v>1.1642034728406054</v>
      </c>
      <c r="H99">
        <v>2020</v>
      </c>
      <c r="I99" t="s">
        <v>1783</v>
      </c>
      <c r="J99" t="s">
        <v>2013</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4747</v>
      </c>
      <c r="S99" s="717">
        <v>2</v>
      </c>
      <c r="T99" s="377">
        <v>1</v>
      </c>
      <c r="U99" s="377">
        <v>1</v>
      </c>
      <c r="V99" s="377">
        <v>3</v>
      </c>
      <c r="W99" s="377">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16"/>
        <v>81953.302958713335</v>
      </c>
      <c r="AG99" s="195">
        <f t="shared" si="116"/>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17"/>
        <v>-0.38367612895914788</v>
      </c>
    </row>
    <row r="100" spans="1:35" x14ac:dyDescent="0.25">
      <c r="A100" t="s">
        <v>2884</v>
      </c>
      <c r="B100" t="s">
        <v>95</v>
      </c>
      <c r="C100" t="s">
        <v>4742</v>
      </c>
      <c r="D100">
        <v>2023</v>
      </c>
      <c r="E100">
        <v>2021</v>
      </c>
      <c r="F100" t="s">
        <v>1781</v>
      </c>
      <c r="G100" s="259">
        <f>USD2021_to_CAD2020</f>
        <v>1.1642034728406054</v>
      </c>
      <c r="H100">
        <v>2020</v>
      </c>
      <c r="I100" t="s">
        <v>1783</v>
      </c>
      <c r="J100" t="s">
        <v>2013</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4748</v>
      </c>
      <c r="S100" s="717">
        <v>2</v>
      </c>
      <c r="T100" s="377">
        <v>1</v>
      </c>
      <c r="U100" s="377">
        <v>1</v>
      </c>
      <c r="V100" s="377">
        <v>3</v>
      </c>
      <c r="W100" s="377">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16"/>
        <v>73663.16821807815</v>
      </c>
      <c r="AG100" s="195">
        <f t="shared" si="116"/>
        <v>69505.299763925053</v>
      </c>
      <c r="AH100" s="195" cm="1">
        <f t="array" ref="AH100">AVERAGE(_xlfn._xlws.FILTER('Autonomie 2023 MHDV'!$AL:$AL,('Autonomie 2023 MHDV'!$A:$A=$AA100)*('Autonomie 2023 MHDV'!$B:$B=AH$70)*('Autonomie 2023 MHDV'!$F:$F=$Z100)*('Autonomie 2023 MHDV'!$D:$D&lt;&gt;"School")))</f>
        <v>65347.431309771971</v>
      </c>
      <c r="AI100" s="85">
        <f t="shared" si="117"/>
        <v>-0.45413107595663998</v>
      </c>
    </row>
    <row r="101" spans="1:35" x14ac:dyDescent="0.25">
      <c r="A101" t="s">
        <v>4693</v>
      </c>
      <c r="B101" t="s">
        <v>95</v>
      </c>
      <c r="C101" t="s">
        <v>4742</v>
      </c>
      <c r="D101">
        <v>2023</v>
      </c>
      <c r="E101">
        <v>2021</v>
      </c>
      <c r="F101" t="s">
        <v>1781</v>
      </c>
      <c r="G101" s="259">
        <f>USD2021_to_CAD2020</f>
        <v>1.1642034728406054</v>
      </c>
      <c r="H101">
        <v>2020</v>
      </c>
      <c r="I101" t="s">
        <v>1783</v>
      </c>
      <c r="J101" t="s">
        <v>2013</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4748</v>
      </c>
      <c r="S101" s="717">
        <v>2</v>
      </c>
      <c r="T101" s="377">
        <v>1</v>
      </c>
      <c r="U101" s="377">
        <v>1</v>
      </c>
      <c r="V101" s="377">
        <v>3</v>
      </c>
      <c r="W101" s="377">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16"/>
        <v>77620.422671824082</v>
      </c>
      <c r="AG101" s="195">
        <f t="shared" si="116"/>
        <v>75573.013501954381</v>
      </c>
      <c r="AH101" s="195" cm="1">
        <f t="array" ref="AH101">AVERAGE(_xlfn._xlws.FILTER('Autonomie 2023 MHDV'!$AL:$AL,('Autonomie 2023 MHDV'!$A:$A=$AA101)*('Autonomie 2023 MHDV'!$B:$B=AH$70)*('Autonomie 2023 MHDV'!$F:$F=$Z101)*('Autonomie 2023 MHDV'!$D:$D&lt;&gt;"School")))</f>
        <v>73525.604332084666</v>
      </c>
      <c r="AI101" s="85">
        <f t="shared" si="117"/>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16"/>
        <v>68756.340829071632</v>
      </c>
      <c r="AG102" s="195">
        <f t="shared" si="116"/>
        <v>66368.07891946251</v>
      </c>
      <c r="AH102" s="195" cm="1">
        <f t="array" ref="AH102">AVERAGE(_xlfn._xlws.FILTER('Autonomie 2023 MHDV'!$AL:$AL,('Autonomie 2023 MHDV'!$A:$A=$AA102)*('Autonomie 2023 MHDV'!$B:$B=AH$70)*('Autonomie 2023 MHDV'!$F:$F=$Z102)*('Autonomie 2023 MHDV'!$D:$D&lt;&gt;"School")))</f>
        <v>63979.817009853403</v>
      </c>
      <c r="AI102" s="85">
        <f t="shared" si="117"/>
        <v>-0.31914556189918508</v>
      </c>
    </row>
    <row r="103" spans="1:35" x14ac:dyDescent="0.25">
      <c r="K103" s="277"/>
      <c r="L103" s="73"/>
      <c r="M103" s="73"/>
      <c r="N103" s="73"/>
      <c r="O103" s="73"/>
      <c r="P103" s="73"/>
      <c r="Q103" s="73"/>
      <c r="Z103">
        <v>6</v>
      </c>
      <c r="AA103" s="28" t="s">
        <v>3996</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18">($AH104-$AE104)/3 + AE104</f>
        <v>78097.565557871843</v>
      </c>
      <c r="AG104" s="195">
        <f t="shared" si="118"/>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19">(AH104-AB104)/AB104</f>
        <v>5.4862696305575697E-4</v>
      </c>
    </row>
    <row r="105" spans="1:35" x14ac:dyDescent="0.25">
      <c r="K105" s="277"/>
      <c r="L105" s="73"/>
      <c r="M105" s="73"/>
      <c r="N105" s="73"/>
      <c r="O105" s="73"/>
      <c r="P105" s="73"/>
      <c r="Q105" s="73"/>
      <c r="Z105">
        <v>6</v>
      </c>
      <c r="AA105" s="17" t="s">
        <v>3979</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18"/>
        <v>82174.296794082489</v>
      </c>
      <c r="AG105" s="195">
        <f t="shared" si="118"/>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19"/>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18"/>
        <v>87094.498449782826</v>
      </c>
      <c r="AG106" s="195">
        <f t="shared" si="118"/>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19"/>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18"/>
        <v>101727.09257852874</v>
      </c>
      <c r="AG107" s="195">
        <f t="shared" si="118"/>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19"/>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18"/>
        <v>91732.184643322456</v>
      </c>
      <c r="AG108" s="195">
        <f t="shared" si="118"/>
        <v>86342.737287622134</v>
      </c>
      <c r="AH108" s="195" cm="1">
        <f t="array" ref="AH108">AVERAGE(_xlfn._xlws.FILTER('Autonomie 2023 MHDV'!$AL:$AL,('Autonomie 2023 MHDV'!$A:$A=$AA108)*('Autonomie 2023 MHDV'!$B:$B=AH$70)*('Autonomie 2023 MHDV'!$F:$F=$Z108)*('Autonomie 2023 MHDV'!$D:$D&lt;&gt;"School")))</f>
        <v>80953.289931921812</v>
      </c>
      <c r="AI108" s="85">
        <f t="shared" si="119"/>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18"/>
        <v>87125.45032413135</v>
      </c>
      <c r="AG109" s="195">
        <f t="shared" si="118"/>
        <v>85060.590920575429</v>
      </c>
      <c r="AH109" s="195" cm="1">
        <f t="array" ref="AH109">AVERAGE(_xlfn._xlws.FILTER('Autonomie 2023 MHDV'!$AL:$AL,('Autonomie 2023 MHDV'!$A:$A=$AA109)*('Autonomie 2023 MHDV'!$B:$B=AH$70)*('Autonomie 2023 MHDV'!$F:$F=$Z109)*('Autonomie 2023 MHDV'!$D:$D&lt;&gt;"School")))</f>
        <v>82995.731517019507</v>
      </c>
      <c r="AI109" s="85">
        <f t="shared" si="119"/>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18"/>
        <v>84146.810070466861</v>
      </c>
      <c r="AG110" s="195">
        <f t="shared" si="118"/>
        <v>81372.732410233424</v>
      </c>
      <c r="AH110" s="195" cm="1">
        <f t="array" ref="AH110">AVERAGE(_xlfn._xlws.FILTER('Autonomie 2023 MHDV'!$AL:$AL,('Autonomie 2023 MHDV'!$A:$A=$AA110)*('Autonomie 2023 MHDV'!$B:$B=AH$70)*('Autonomie 2023 MHDV'!$F:$F=$Z110)*('Autonomie 2023 MHDV'!$D:$D&lt;&gt;"School")))</f>
        <v>78598.654749999972</v>
      </c>
      <c r="AI110" s="85">
        <f t="shared" si="119"/>
        <v>-0.31527278900921113</v>
      </c>
    </row>
    <row r="111" spans="1:35" x14ac:dyDescent="0.25">
      <c r="K111" s="277"/>
      <c r="L111" s="73"/>
      <c r="M111" s="73"/>
      <c r="N111" s="73"/>
      <c r="O111" s="73"/>
      <c r="P111" s="73"/>
      <c r="Q111" s="73"/>
      <c r="Z111">
        <v>7</v>
      </c>
      <c r="AA111" s="28" t="s">
        <v>3997</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0">($AH112-$AE112)/3 + AE112</f>
        <v>99020.523121606922</v>
      </c>
      <c r="AG112" s="195">
        <f t="shared" si="120"/>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1">(AH112-AB112)/AB112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0"/>
        <v>107351.03541026055</v>
      </c>
      <c r="AG113" s="195">
        <f t="shared" si="120"/>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1"/>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0"/>
        <v>140787.21164066228</v>
      </c>
      <c r="AG114" s="195">
        <f t="shared" si="120"/>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1"/>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0"/>
        <v>131176.71834242667</v>
      </c>
      <c r="AG115" s="195">
        <f t="shared" si="120"/>
        <v>121955.35251799671</v>
      </c>
      <c r="AH115" s="195" cm="1">
        <f t="array" ref="AH115">AVERAGE(_xlfn._xlws.FILTER('Autonomie 2023 MHDV'!$AL:$AL,('Autonomie 2023 MHDV'!$A:$A=$AA115)*('Autonomie 2023 MHDV'!$B:$B=AH$70)*('Autonomie 2023 MHDV'!$F:$F=$Z115)*('Autonomie 2023 MHDV'!$D:$D&lt;&gt;"School")))</f>
        <v>112733.98669356674</v>
      </c>
      <c r="AI115" s="85">
        <f t="shared" si="121"/>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0"/>
        <v>120369.67398398477</v>
      </c>
      <c r="AG116" s="195">
        <f t="shared" si="120"/>
        <v>116776.70908018456</v>
      </c>
      <c r="AH116" s="195" cm="1">
        <f t="array" ref="AH116">AVERAGE(_xlfn._xlws.FILTER('Autonomie 2023 MHDV'!$AL:$AL,('Autonomie 2023 MHDV'!$A:$A=$AA116)*('Autonomie 2023 MHDV'!$B:$B=AH$70)*('Autonomie 2023 MHDV'!$F:$F=$Z116)*('Autonomie 2023 MHDV'!$D:$D&lt;&gt;"School")))</f>
        <v>113183.74417638434</v>
      </c>
      <c r="AI116" s="85">
        <f t="shared" si="121"/>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0"/>
        <v>114477.60894853417</v>
      </c>
      <c r="AG117" s="195">
        <f t="shared" si="120"/>
        <v>110440.49101653091</v>
      </c>
      <c r="AH117" s="195" cm="1">
        <f t="array" ref="AH117">AVERAGE(_xlfn._xlws.FILTER('Autonomie 2023 MHDV'!$AL:$AL,('Autonomie 2023 MHDV'!$A:$A=$AA117)*('Autonomie 2023 MHDV'!$B:$B=AH$70)*('Autonomie 2023 MHDV'!$F:$F=$Z117)*('Autonomie 2023 MHDV'!$D:$D&lt;&gt;"School")))</f>
        <v>106403.37308452766</v>
      </c>
      <c r="AI117" s="85">
        <f t="shared" si="121"/>
        <v>-0.32859454154841794</v>
      </c>
    </row>
    <row r="118" spans="11:35" x14ac:dyDescent="0.25">
      <c r="Z118">
        <v>8</v>
      </c>
      <c r="AA118" s="28" t="s">
        <v>1915</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2">($AH119-$AE119)/3 + AE119</f>
        <v>134009.26065420735</v>
      </c>
      <c r="AG119" s="195">
        <f t="shared" si="122"/>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1"/>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2"/>
        <v>144293.18012396846</v>
      </c>
      <c r="AG120" s="195">
        <f t="shared" si="122"/>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1"/>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2"/>
        <v>177348.25344058085</v>
      </c>
      <c r="AG121" s="195">
        <f t="shared" si="122"/>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1"/>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2"/>
        <v>165537.75695819757</v>
      </c>
      <c r="AG122" s="195">
        <f t="shared" si="122"/>
        <v>151759.07791435937</v>
      </c>
      <c r="AH122" s="195" cm="1">
        <f t="array" ref="AH122">AVERAGE(_xlfn._xlws.FILTER('Autonomie 2023 MHDV'!$AL:$AL,('Autonomie 2023 MHDV'!$A:$A=$AA122)*('Autonomie 2023 MHDV'!$B:$B=AH$70)*('Autonomie 2023 MHDV'!$F:$F=$Z122)*('Autonomie 2023 MHDV'!$E:$E="DayCab")))</f>
        <v>137980.39887052114</v>
      </c>
      <c r="AI122" s="85">
        <f t="shared" si="121"/>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2"/>
        <v>183993.22600390873</v>
      </c>
      <c r="AG123" s="195">
        <f t="shared" si="122"/>
        <v>174641.17448778494</v>
      </c>
      <c r="AH123" s="195" cm="1">
        <f t="array" ref="AH123">AVERAGE(_xlfn._xlws.FILTER('Autonomie 2023 MHDV'!$AL:$AL,('Autonomie 2023 MHDV'!$A:$A=$AA123)*('Autonomie 2023 MHDV'!$B:$B=AH$70)*('Autonomie 2023 MHDV'!$F:$F=$Z123)*('Autonomie 2023 MHDV'!$E:$E="DayCab")))</f>
        <v>165289.12297166119</v>
      </c>
      <c r="AI123" s="85">
        <f t="shared" si="121"/>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2"/>
        <v>149351.9646574104</v>
      </c>
      <c r="AG124" s="195">
        <f t="shared" si="122"/>
        <v>141420.64238607491</v>
      </c>
      <c r="AH124" s="195" cm="1">
        <f t="array" ref="AH124">AVERAGE(_xlfn._xlws.FILTER('Autonomie 2023 MHDV'!$AL:$AL,('Autonomie 2023 MHDV'!$A:$A=$AA124)*('Autonomie 2023 MHDV'!$B:$B=AH$70)*('Autonomie 2023 MHDV'!$F:$F=$Z124)*('Autonomie 2023 MHDV'!$E:$E="DayCab")))</f>
        <v>133489.32011473938</v>
      </c>
      <c r="AI124" s="85">
        <f t="shared" si="121"/>
        <v>-0.42173662586862742</v>
      </c>
    </row>
    <row r="125" spans="11:35" x14ac:dyDescent="0.25">
      <c r="Z125">
        <v>8</v>
      </c>
      <c r="AA125" s="28" t="s">
        <v>1916</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3">($AH126-$AE126)/3 + AE126</f>
        <v>157656.23790855042</v>
      </c>
      <c r="AG126" s="195">
        <f t="shared" si="123"/>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4">(AH126-AB126)/AB126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3"/>
        <v>168890.62193135175</v>
      </c>
      <c r="AG127" s="195">
        <f t="shared" si="123"/>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4"/>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3"/>
        <v>277260.01221986965</v>
      </c>
      <c r="AG128" s="195">
        <f t="shared" si="123"/>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4"/>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3"/>
        <v>282728.94093192171</v>
      </c>
      <c r="AG129" s="195">
        <f t="shared" si="123"/>
        <v>250458.36388737775</v>
      </c>
      <c r="AH129" s="195" cm="1">
        <f t="array" ref="AH129">AVERAGE(_xlfn._xlws.FILTER('Autonomie 2023 MHDV'!$AL:$AL,('Autonomie 2023 MHDV'!$A:$A=$AA129)*('Autonomie 2023 MHDV'!$B:$B=AH$70)*('Autonomie 2023 MHDV'!$F:$F=$Z129)*('Autonomie 2023 MHDV'!$E:$E="Sleeper")))</f>
        <v>218187.78684283383</v>
      </c>
      <c r="AI129" s="85">
        <f t="shared" si="124"/>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3"/>
        <v>235013.76070936475</v>
      </c>
      <c r="AG130" s="195">
        <f t="shared" si="123"/>
        <v>220987.59404470678</v>
      </c>
      <c r="AH130" s="195" cm="1">
        <f t="array" ref="AH130">AVERAGE(_xlfn._xlws.FILTER('Autonomie 2023 MHDV'!$AL:$AL,('Autonomie 2023 MHDV'!$A:$A=$AA130)*('Autonomie 2023 MHDV'!$B:$B=AH$70)*('Autonomie 2023 MHDV'!$F:$F=$Z130)*('Autonomie 2023 MHDV'!$E:$E="Sleeper")))</f>
        <v>206961.42738004879</v>
      </c>
      <c r="AI130" s="85">
        <f t="shared" si="124"/>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3"/>
        <v>182441.04682361559</v>
      </c>
      <c r="AG131" s="195">
        <f t="shared" si="123"/>
        <v>171481.02632899018</v>
      </c>
      <c r="AH131" s="195" cm="1">
        <f t="array" ref="AH131">AVERAGE(_xlfn._xlws.FILTER('Autonomie 2023 MHDV'!$AL:$AL,('Autonomie 2023 MHDV'!$A:$A=$AA131)*('Autonomie 2023 MHDV'!$B:$B=AH$70)*('Autonomie 2023 MHDV'!$F:$F=$Z131)*('Autonomie 2023 MHDV'!$E:$E="Sleeper")))</f>
        <v>160521.00583436477</v>
      </c>
      <c r="AI131" s="85">
        <f t="shared" si="124"/>
        <v>-0.463612892351774</v>
      </c>
    </row>
    <row r="132" spans="26:35" x14ac:dyDescent="0.25">
      <c r="AA132" s="61" t="s">
        <v>3980</v>
      </c>
    </row>
    <row r="134" spans="26:35" ht="15.75" x14ac:dyDescent="0.25">
      <c r="AA134" s="159" t="s">
        <v>1471</v>
      </c>
    </row>
    <row r="135" spans="26:35" ht="15.75" thickBot="1" x14ac:dyDescent="0.3">
      <c r="AA135" s="88" t="s">
        <v>4053</v>
      </c>
      <c r="AB135" s="88" t="s">
        <v>1482</v>
      </c>
      <c r="AC135" s="88" t="s">
        <v>3998</v>
      </c>
    </row>
    <row r="136" spans="26:35" ht="15.75" thickTop="1" x14ac:dyDescent="0.25">
      <c r="AA136" s="28" t="s">
        <v>17</v>
      </c>
    </row>
    <row r="137" spans="26:35" x14ac:dyDescent="0.25">
      <c r="AA137" s="17" t="s">
        <v>482</v>
      </c>
      <c r="AB137" s="772">
        <v>0.54500397685625612</v>
      </c>
    </row>
    <row r="138" spans="26:35" x14ac:dyDescent="0.25">
      <c r="AA138" s="17" t="s">
        <v>1473</v>
      </c>
      <c r="AB138" s="772">
        <v>0.45499602314374388</v>
      </c>
    </row>
    <row r="139" spans="26:35" x14ac:dyDescent="0.25">
      <c r="AA139" s="28" t="s">
        <v>1474</v>
      </c>
      <c r="AB139" s="30"/>
    </row>
    <row r="140" spans="26:35" x14ac:dyDescent="0.25">
      <c r="AA140" s="17" t="s">
        <v>1475</v>
      </c>
      <c r="AB140" s="772">
        <v>0.56868624710569682</v>
      </c>
    </row>
    <row r="141" spans="26:35" x14ac:dyDescent="0.25">
      <c r="AA141" s="17" t="s">
        <v>1476</v>
      </c>
      <c r="AB141" s="772">
        <v>0.14746865808631804</v>
      </c>
    </row>
    <row r="142" spans="26:35" x14ac:dyDescent="0.25">
      <c r="AA142" s="17" t="s">
        <v>930</v>
      </c>
      <c r="AB142" s="772">
        <v>0.28384509480798514</v>
      </c>
    </row>
    <row r="143" spans="26:35" x14ac:dyDescent="0.25">
      <c r="AA143" s="28" t="s">
        <v>1481</v>
      </c>
      <c r="AB143" s="30"/>
      <c r="AC143" s="28"/>
    </row>
    <row r="144" spans="26:35" x14ac:dyDescent="0.25">
      <c r="AA144" s="17" t="s">
        <v>4001</v>
      </c>
      <c r="AC144" s="750">
        <f>'Background Data'!$AF$45</f>
        <v>0.64368048757149066</v>
      </c>
    </row>
    <row r="145" spans="27:29" x14ac:dyDescent="0.25">
      <c r="AA145" s="17" t="s">
        <v>1463</v>
      </c>
      <c r="AB145" s="30">
        <v>0.34046005535935858</v>
      </c>
      <c r="AC145" s="750">
        <f>'Background Data'!$AF$46</f>
        <v>5.9006896957830658E-2</v>
      </c>
    </row>
    <row r="146" spans="27:29" x14ac:dyDescent="0.25">
      <c r="AA146" s="17" t="s">
        <v>1464</v>
      </c>
      <c r="AB146" s="30">
        <v>8.5186599217333209E-2</v>
      </c>
      <c r="AC146" s="750">
        <f>'Background Data'!$AF$47</f>
        <v>4.6541584165703642E-2</v>
      </c>
    </row>
    <row r="147" spans="27:29" x14ac:dyDescent="0.25">
      <c r="AA147" s="17" t="s">
        <v>1465</v>
      </c>
      <c r="AB147" s="30">
        <v>0.29951321943304382</v>
      </c>
      <c r="AC147" s="750">
        <f>'Background Data'!$AF$48</f>
        <v>2.8552080496404307E-2</v>
      </c>
    </row>
    <row r="148" spans="27:29" x14ac:dyDescent="0.25">
      <c r="AA148" s="17" t="s">
        <v>1466</v>
      </c>
      <c r="AB148" s="30">
        <v>4.0946835926314783E-2</v>
      </c>
      <c r="AC148" s="750">
        <f>'Background Data'!$AF$49</f>
        <v>0.20086561605217251</v>
      </c>
    </row>
    <row r="149" spans="27:29" x14ac:dyDescent="0.25">
      <c r="AA149" s="17" t="s">
        <v>1467</v>
      </c>
      <c r="AB149" s="30">
        <v>0.2338932900639496</v>
      </c>
      <c r="AC149" s="750">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0">
        <v>0.18272858103533385</v>
      </c>
    </row>
    <row r="155" spans="27:29" x14ac:dyDescent="0.25">
      <c r="AA155" s="17" t="s">
        <v>1545</v>
      </c>
      <c r="AB155" s="82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6"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7" customWidth="1"/>
    <col min="31" max="31" width="1.85546875" style="51" customWidth="1"/>
    <col min="33" max="33" width="30" customWidth="1"/>
  </cols>
  <sheetData>
    <row r="1" spans="1:40" ht="15.75" x14ac:dyDescent="0.25">
      <c r="A1" s="1"/>
      <c r="B1" s="1"/>
      <c r="C1" s="1"/>
      <c r="D1" s="1"/>
      <c r="E1" s="1"/>
      <c r="F1" s="1"/>
      <c r="G1" s="1"/>
      <c r="L1" s="1059" t="s">
        <v>1539</v>
      </c>
      <c r="M1" s="1059"/>
      <c r="N1" s="1059"/>
      <c r="O1" s="1059"/>
      <c r="P1" s="1060"/>
      <c r="Q1" s="1058" t="s">
        <v>1003</v>
      </c>
      <c r="R1" s="1059"/>
      <c r="S1" s="1059"/>
      <c r="T1" s="1059"/>
      <c r="U1" s="1059"/>
      <c r="V1" s="1059"/>
      <c r="W1" s="1060"/>
      <c r="Y1" s="1038" t="s">
        <v>147</v>
      </c>
      <c r="Z1" s="1039"/>
      <c r="AA1" s="1039"/>
      <c r="AB1" s="1039"/>
      <c r="AC1" s="1039"/>
      <c r="AD1" s="1044" t="s">
        <v>2640</v>
      </c>
      <c r="AF1" s="1044" t="s">
        <v>2641</v>
      </c>
      <c r="AG1" s="159" t="s">
        <v>2919</v>
      </c>
      <c r="AH1" s="159"/>
      <c r="AI1" s="159"/>
      <c r="AJ1" s="159"/>
      <c r="AK1" s="159"/>
      <c r="AL1" s="159"/>
      <c r="AM1" s="159"/>
      <c r="AN1" s="159"/>
    </row>
    <row r="2" spans="1:40" ht="111" thickBot="1" x14ac:dyDescent="0.3">
      <c r="A2" s="722" t="s">
        <v>92</v>
      </c>
      <c r="B2" s="722" t="s">
        <v>93</v>
      </c>
      <c r="C2" s="722" t="s">
        <v>179</v>
      </c>
      <c r="D2" s="722" t="s">
        <v>143</v>
      </c>
      <c r="E2" s="722" t="s">
        <v>1782</v>
      </c>
      <c r="F2" s="722" t="s">
        <v>2026</v>
      </c>
      <c r="G2" s="722" t="s">
        <v>1538</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4"/>
      <c r="AE2" s="735"/>
      <c r="AF2" s="1044"/>
      <c r="AG2" s="88" t="s">
        <v>1850</v>
      </c>
      <c r="AH2" s="88">
        <v>2020</v>
      </c>
      <c r="AI2" s="88">
        <v>2025</v>
      </c>
      <c r="AJ2" s="88">
        <v>2030</v>
      </c>
      <c r="AK2" s="88">
        <v>2035</v>
      </c>
      <c r="AL2" s="88">
        <v>2040</v>
      </c>
      <c r="AM2" s="88">
        <v>2045</v>
      </c>
      <c r="AN2" s="88">
        <v>2050</v>
      </c>
    </row>
    <row r="3" spans="1:40" ht="15.75" thickTop="1" x14ac:dyDescent="0.25">
      <c r="A3" t="s">
        <v>4768</v>
      </c>
      <c r="B3" t="s">
        <v>95</v>
      </c>
      <c r="C3" t="s">
        <v>1644</v>
      </c>
      <c r="D3">
        <v>2022</v>
      </c>
      <c r="E3">
        <v>2018</v>
      </c>
      <c r="F3" s="259">
        <f t="shared" ref="F3:F41" si="0">USD2018_to_CAD2020</f>
        <v>1.3371624000000004</v>
      </c>
      <c r="G3" t="s">
        <v>1781</v>
      </c>
      <c r="H3">
        <v>2020</v>
      </c>
      <c r="I3" t="s">
        <v>1783</v>
      </c>
      <c r="J3" t="s">
        <v>2916</v>
      </c>
      <c r="K3" s="336">
        <v>2021</v>
      </c>
      <c r="N3" s="80">
        <f>$AH$3</f>
        <v>0.26743248000000008</v>
      </c>
      <c r="O3" s="80">
        <f>$AH$3</f>
        <v>0.26743248000000008</v>
      </c>
      <c r="P3" s="343">
        <f>$AH$3</f>
        <v>0.26743248000000008</v>
      </c>
      <c r="Q3" s="80">
        <f>$AH$3</f>
        <v>0.26743248000000008</v>
      </c>
      <c r="R3" s="80"/>
      <c r="S3" s="80"/>
      <c r="T3" s="80"/>
      <c r="X3" s="54" t="s">
        <v>1857</v>
      </c>
      <c r="Y3" s="377">
        <v>3</v>
      </c>
      <c r="Z3" s="377">
        <v>1</v>
      </c>
      <c r="AA3" s="377">
        <v>1</v>
      </c>
      <c r="AB3" s="377">
        <v>3</v>
      </c>
      <c r="AC3" s="377">
        <v>1</v>
      </c>
      <c r="AD3" s="1044"/>
      <c r="AF3" s="1044"/>
      <c r="AG3" t="s">
        <v>1853</v>
      </c>
      <c r="AH3" s="444">
        <f>'OEO &amp; EPAUS9rT Data'!S79*USD2018_to_CAD2020</f>
        <v>0.26743248000000008</v>
      </c>
      <c r="AI3" s="444">
        <f>'OEO &amp; EPAUS9rT Data'!T79*USD2018_to_CAD2020</f>
        <v>0.22731760800000009</v>
      </c>
      <c r="AJ3" s="444">
        <f>'OEO &amp; EPAUS9rT Data'!U79*USD2018_to_CAD2020</f>
        <v>0.18720273600000006</v>
      </c>
      <c r="AK3" s="444">
        <f>'OEO &amp; EPAUS9rT Data'!V79*USD2018_to_CAD2020</f>
        <v>0.18720273600000006</v>
      </c>
      <c r="AL3" s="444">
        <f>'OEO &amp; EPAUS9rT Data'!W79*USD2018_to_CAD2020</f>
        <v>0.18720273600000006</v>
      </c>
      <c r="AM3" s="444">
        <f>'OEO &amp; EPAUS9rT Data'!X79*USD2018_to_CAD2020</f>
        <v>0.18720273600000006</v>
      </c>
      <c r="AN3" s="444">
        <f>'OEO &amp; EPAUS9rT Data'!Y79*USD2018_to_CAD2020</f>
        <v>0.18720273600000006</v>
      </c>
    </row>
    <row r="4" spans="1:40" x14ac:dyDescent="0.25">
      <c r="A4" t="s">
        <v>4768</v>
      </c>
      <c r="B4" t="s">
        <v>95</v>
      </c>
      <c r="C4" t="s">
        <v>1644</v>
      </c>
      <c r="D4">
        <v>2022</v>
      </c>
      <c r="E4">
        <v>2018</v>
      </c>
      <c r="F4" s="259">
        <f t="shared" si="0"/>
        <v>1.3371624000000004</v>
      </c>
      <c r="G4" t="s">
        <v>1781</v>
      </c>
      <c r="H4">
        <v>2020</v>
      </c>
      <c r="I4" t="s">
        <v>1783</v>
      </c>
      <c r="J4" t="s">
        <v>2916</v>
      </c>
      <c r="K4" s="336">
        <v>2025</v>
      </c>
      <c r="O4" s="80">
        <f>$AH$3</f>
        <v>0.26743248000000008</v>
      </c>
      <c r="P4" s="325">
        <f t="shared" ref="P4:Q6" si="1">$AH$3</f>
        <v>0.26743248000000008</v>
      </c>
      <c r="Q4" s="80">
        <f t="shared" si="1"/>
        <v>0.26743248000000008</v>
      </c>
      <c r="R4" s="80">
        <f>$AI$3</f>
        <v>0.22731760800000009</v>
      </c>
      <c r="S4" s="80"/>
      <c r="T4" s="80"/>
      <c r="X4" s="54" t="s">
        <v>1857</v>
      </c>
      <c r="Y4" s="377">
        <v>3</v>
      </c>
      <c r="Z4" s="377">
        <v>1</v>
      </c>
      <c r="AA4" s="377">
        <v>1</v>
      </c>
      <c r="AB4" s="377">
        <v>3</v>
      </c>
      <c r="AC4" s="377">
        <v>1</v>
      </c>
      <c r="AD4" s="1044"/>
      <c r="AF4" s="1044"/>
      <c r="AG4" t="s">
        <v>1852</v>
      </c>
      <c r="AH4" s="444">
        <f>'OEO &amp; EPAUS9rT Data'!S80*USD2018_to_CAD2020</f>
        <v>9.3601368000000032E-2</v>
      </c>
      <c r="AI4" s="444">
        <f>'OEO &amp; EPAUS9rT Data'!T80*USD2018_to_CAD2020</f>
        <v>9.3601368000000032E-2</v>
      </c>
      <c r="AJ4" s="444">
        <f>'OEO &amp; EPAUS9rT Data'!U80*USD2018_to_CAD2020</f>
        <v>9.3601368000000032E-2</v>
      </c>
      <c r="AK4" s="444">
        <f>'OEO &amp; EPAUS9rT Data'!V80*USD2018_to_CAD2020</f>
        <v>9.3601368000000032E-2</v>
      </c>
      <c r="AL4" s="444">
        <f>'OEO &amp; EPAUS9rT Data'!W80*USD2018_to_CAD2020</f>
        <v>9.3601368000000032E-2</v>
      </c>
      <c r="AM4" s="444">
        <f>'OEO &amp; EPAUS9rT Data'!X80*USD2018_to_CAD2020</f>
        <v>9.3601368000000032E-2</v>
      </c>
      <c r="AN4" s="444">
        <f>'OEO &amp; EPAUS9rT Data'!Y80*USD2018_to_CAD2020</f>
        <v>9.3601368000000032E-2</v>
      </c>
    </row>
    <row r="5" spans="1:40" x14ac:dyDescent="0.25">
      <c r="A5" t="s">
        <v>4768</v>
      </c>
      <c r="B5" t="s">
        <v>95</v>
      </c>
      <c r="C5" t="s">
        <v>1644</v>
      </c>
      <c r="D5">
        <v>2022</v>
      </c>
      <c r="E5">
        <v>2018</v>
      </c>
      <c r="F5" s="259">
        <f t="shared" si="0"/>
        <v>1.3371624000000004</v>
      </c>
      <c r="G5" t="s">
        <v>1781</v>
      </c>
      <c r="H5">
        <v>2020</v>
      </c>
      <c r="I5" t="s">
        <v>1783</v>
      </c>
      <c r="J5" t="s">
        <v>2916</v>
      </c>
      <c r="K5" s="336">
        <v>2030</v>
      </c>
      <c r="P5" s="325">
        <f t="shared" si="1"/>
        <v>0.26743248000000008</v>
      </c>
      <c r="Q5" s="80">
        <f t="shared" si="1"/>
        <v>0.26743248000000008</v>
      </c>
      <c r="R5" s="80">
        <f t="shared" ref="R5:R6" si="2">$AI$3</f>
        <v>0.22731760800000009</v>
      </c>
      <c r="S5" s="80">
        <f>$AJ$3</f>
        <v>0.18720273600000006</v>
      </c>
      <c r="T5" s="80"/>
      <c r="X5" s="54" t="s">
        <v>1857</v>
      </c>
      <c r="Y5" s="377">
        <v>3</v>
      </c>
      <c r="Z5" s="377">
        <v>1</v>
      </c>
      <c r="AA5" s="377">
        <v>1</v>
      </c>
      <c r="AB5" s="377">
        <v>3</v>
      </c>
      <c r="AC5" s="377">
        <v>1</v>
      </c>
      <c r="AD5" s="1044"/>
      <c r="AF5" s="1044"/>
      <c r="AG5" s="61" t="s">
        <v>1854</v>
      </c>
    </row>
    <row r="6" spans="1:40" x14ac:dyDescent="0.25">
      <c r="A6" t="s">
        <v>4768</v>
      </c>
      <c r="B6" t="s">
        <v>95</v>
      </c>
      <c r="C6" t="s">
        <v>1644</v>
      </c>
      <c r="D6">
        <v>2022</v>
      </c>
      <c r="E6">
        <v>2018</v>
      </c>
      <c r="F6" s="259">
        <f t="shared" si="0"/>
        <v>1.3371624000000004</v>
      </c>
      <c r="G6" t="s">
        <v>1781</v>
      </c>
      <c r="H6">
        <v>2020</v>
      </c>
      <c r="I6" t="s">
        <v>1783</v>
      </c>
      <c r="J6" t="s">
        <v>2916</v>
      </c>
      <c r="K6" s="336">
        <v>2035</v>
      </c>
      <c r="N6" s="80"/>
      <c r="O6" s="80"/>
      <c r="P6" s="325"/>
      <c r="Q6" s="80">
        <f t="shared" si="1"/>
        <v>0.26743248000000008</v>
      </c>
      <c r="R6" s="80">
        <f t="shared" si="2"/>
        <v>0.22731760800000009</v>
      </c>
      <c r="S6" s="80">
        <f t="shared" ref="S6:S7" si="3">$AJ$3</f>
        <v>0.18720273600000006</v>
      </c>
      <c r="T6" s="80">
        <f>$AK$3</f>
        <v>0.18720273600000006</v>
      </c>
      <c r="X6" s="54" t="s">
        <v>1857</v>
      </c>
      <c r="Y6" s="377">
        <v>3</v>
      </c>
      <c r="Z6" s="377">
        <v>1</v>
      </c>
      <c r="AA6" s="377">
        <v>1</v>
      </c>
      <c r="AB6" s="377">
        <v>3</v>
      </c>
      <c r="AC6" s="377">
        <v>1</v>
      </c>
      <c r="AD6" s="1044"/>
      <c r="AF6" s="1044"/>
    </row>
    <row r="7" spans="1:40" x14ac:dyDescent="0.25">
      <c r="A7" t="s">
        <v>4768</v>
      </c>
      <c r="B7" t="s">
        <v>95</v>
      </c>
      <c r="C7" t="s">
        <v>1644</v>
      </c>
      <c r="D7">
        <v>2022</v>
      </c>
      <c r="E7">
        <v>2018</v>
      </c>
      <c r="F7" s="259">
        <f t="shared" si="0"/>
        <v>1.3371624000000004</v>
      </c>
      <c r="G7" t="s">
        <v>1781</v>
      </c>
      <c r="H7">
        <v>2020</v>
      </c>
      <c r="I7" t="s">
        <v>1783</v>
      </c>
      <c r="J7" t="s">
        <v>2916</v>
      </c>
      <c r="K7" s="336">
        <v>2040</v>
      </c>
      <c r="O7" s="80"/>
      <c r="P7" s="325"/>
      <c r="R7" s="80"/>
      <c r="S7" s="80">
        <f t="shared" si="3"/>
        <v>0.18720273600000006</v>
      </c>
      <c r="T7" s="80">
        <f t="shared" ref="T7:T8" si="4">$AK$3</f>
        <v>0.18720273600000006</v>
      </c>
      <c r="U7" s="80">
        <f>$AL$3</f>
        <v>0.18720273600000006</v>
      </c>
      <c r="X7" s="54" t="s">
        <v>1857</v>
      </c>
      <c r="Y7" s="377">
        <v>3</v>
      </c>
      <c r="Z7" s="377">
        <v>1</v>
      </c>
      <c r="AA7" s="377">
        <v>1</v>
      </c>
      <c r="AB7" s="377">
        <v>3</v>
      </c>
      <c r="AC7" s="377">
        <v>1</v>
      </c>
      <c r="AD7" s="1044"/>
      <c r="AF7" s="1044"/>
    </row>
    <row r="8" spans="1:40" x14ac:dyDescent="0.25">
      <c r="A8" t="s">
        <v>4768</v>
      </c>
      <c r="B8" t="s">
        <v>95</v>
      </c>
      <c r="C8" t="s">
        <v>1644</v>
      </c>
      <c r="D8">
        <v>2022</v>
      </c>
      <c r="E8">
        <v>2018</v>
      </c>
      <c r="F8" s="259">
        <f t="shared" si="0"/>
        <v>1.3371624000000004</v>
      </c>
      <c r="G8" t="s">
        <v>1781</v>
      </c>
      <c r="H8">
        <v>2020</v>
      </c>
      <c r="I8" t="s">
        <v>1783</v>
      </c>
      <c r="J8" t="s">
        <v>2916</v>
      </c>
      <c r="K8" s="336">
        <v>2045</v>
      </c>
      <c r="P8" s="325"/>
      <c r="T8" s="80">
        <f t="shared" si="4"/>
        <v>0.18720273600000006</v>
      </c>
      <c r="U8" s="80">
        <f t="shared" ref="U8:U9" si="5">$AL$3</f>
        <v>0.18720273600000006</v>
      </c>
      <c r="V8" s="80">
        <f>$AM$3</f>
        <v>0.18720273600000006</v>
      </c>
      <c r="X8" s="54" t="s">
        <v>1857</v>
      </c>
      <c r="Y8" s="377">
        <v>3</v>
      </c>
      <c r="Z8" s="377">
        <v>1</v>
      </c>
      <c r="AA8" s="377">
        <v>1</v>
      </c>
      <c r="AB8" s="377">
        <v>3</v>
      </c>
      <c r="AC8" s="377">
        <v>1</v>
      </c>
      <c r="AD8" s="1044"/>
      <c r="AF8" s="1044"/>
    </row>
    <row r="9" spans="1:40" x14ac:dyDescent="0.25">
      <c r="A9" t="s">
        <v>4768</v>
      </c>
      <c r="B9" t="s">
        <v>95</v>
      </c>
      <c r="C9" t="s">
        <v>1644</v>
      </c>
      <c r="D9">
        <v>2022</v>
      </c>
      <c r="E9">
        <v>2018</v>
      </c>
      <c r="F9" s="259">
        <f t="shared" si="0"/>
        <v>1.3371624000000004</v>
      </c>
      <c r="G9" t="s">
        <v>1781</v>
      </c>
      <c r="H9">
        <v>2020</v>
      </c>
      <c r="I9" t="s">
        <v>1783</v>
      </c>
      <c r="J9" t="s">
        <v>2916</v>
      </c>
      <c r="K9" s="336">
        <v>2050</v>
      </c>
      <c r="N9" s="80"/>
      <c r="O9" s="80"/>
      <c r="P9" s="325"/>
      <c r="U9" s="80">
        <f t="shared" si="5"/>
        <v>0.18720273600000006</v>
      </c>
      <c r="V9" s="80">
        <f>$AM$3</f>
        <v>0.18720273600000006</v>
      </c>
      <c r="W9" s="80">
        <f>$AN$3</f>
        <v>0.18720273600000006</v>
      </c>
      <c r="X9" s="54" t="s">
        <v>1857</v>
      </c>
      <c r="Y9" s="377">
        <v>3</v>
      </c>
      <c r="Z9" s="377">
        <v>1</v>
      </c>
      <c r="AA9" s="377">
        <v>1</v>
      </c>
      <c r="AB9" s="377">
        <v>3</v>
      </c>
      <c r="AC9" s="377">
        <v>1</v>
      </c>
      <c r="AD9" s="1044"/>
      <c r="AF9" s="1044"/>
    </row>
    <row r="10" spans="1:40" x14ac:dyDescent="0.25">
      <c r="A10" t="s">
        <v>4769</v>
      </c>
      <c r="B10" t="s">
        <v>95</v>
      </c>
      <c r="C10" t="s">
        <v>1644</v>
      </c>
      <c r="D10">
        <v>2022</v>
      </c>
      <c r="E10">
        <v>2018</v>
      </c>
      <c r="F10" s="259">
        <f t="shared" si="0"/>
        <v>1.3371624000000004</v>
      </c>
      <c r="G10" t="s">
        <v>1781</v>
      </c>
      <c r="H10">
        <v>2020</v>
      </c>
      <c r="I10" t="s">
        <v>1783</v>
      </c>
      <c r="J10" t="s">
        <v>2916</v>
      </c>
      <c r="K10" s="336">
        <v>2021</v>
      </c>
      <c r="N10" s="80">
        <f>$AH$3</f>
        <v>0.26743248000000008</v>
      </c>
      <c r="O10" s="80">
        <f>$AH$3</f>
        <v>0.26743248000000008</v>
      </c>
      <c r="P10" s="325">
        <f>$AH$3</f>
        <v>0.26743248000000008</v>
      </c>
      <c r="Q10" s="80">
        <f>$AH$3</f>
        <v>0.26743248000000008</v>
      </c>
      <c r="R10" s="80"/>
      <c r="S10" s="80"/>
      <c r="T10" s="80"/>
      <c r="X10" s="54" t="s">
        <v>1857</v>
      </c>
      <c r="Y10" s="377">
        <v>3</v>
      </c>
      <c r="Z10" s="377">
        <v>1</v>
      </c>
      <c r="AA10" s="377">
        <v>1</v>
      </c>
      <c r="AB10" s="377">
        <v>3</v>
      </c>
      <c r="AC10" s="377">
        <v>1</v>
      </c>
      <c r="AD10" s="1044"/>
      <c r="AF10" s="1044"/>
    </row>
    <row r="11" spans="1:40" x14ac:dyDescent="0.25">
      <c r="A11" t="s">
        <v>4769</v>
      </c>
      <c r="B11" t="s">
        <v>95</v>
      </c>
      <c r="C11" t="s">
        <v>1644</v>
      </c>
      <c r="D11">
        <v>2022</v>
      </c>
      <c r="E11">
        <v>2018</v>
      </c>
      <c r="F11" s="259">
        <f t="shared" si="0"/>
        <v>1.3371624000000004</v>
      </c>
      <c r="G11" t="s">
        <v>1781</v>
      </c>
      <c r="H11">
        <v>2020</v>
      </c>
      <c r="I11" t="s">
        <v>1783</v>
      </c>
      <c r="J11" t="s">
        <v>2916</v>
      </c>
      <c r="K11" s="336">
        <v>2025</v>
      </c>
      <c r="O11" s="80">
        <f>$AH$3</f>
        <v>0.26743248000000008</v>
      </c>
      <c r="P11" s="325">
        <f t="shared" ref="P11:Q13" si="6">$AH$3</f>
        <v>0.26743248000000008</v>
      </c>
      <c r="Q11" s="80">
        <f t="shared" si="6"/>
        <v>0.26743248000000008</v>
      </c>
      <c r="R11" s="80">
        <f>$AI$3</f>
        <v>0.22731760800000009</v>
      </c>
      <c r="S11" s="80"/>
      <c r="T11" s="80"/>
      <c r="X11" s="54" t="s">
        <v>1857</v>
      </c>
      <c r="Y11" s="377">
        <v>3</v>
      </c>
      <c r="Z11" s="377">
        <v>1</v>
      </c>
      <c r="AA11" s="377">
        <v>1</v>
      </c>
      <c r="AB11" s="377">
        <v>3</v>
      </c>
      <c r="AC11" s="377">
        <v>1</v>
      </c>
      <c r="AD11" s="1044"/>
      <c r="AF11" s="1044"/>
    </row>
    <row r="12" spans="1:40" x14ac:dyDescent="0.25">
      <c r="A12" t="s">
        <v>4769</v>
      </c>
      <c r="B12" t="s">
        <v>95</v>
      </c>
      <c r="C12" t="s">
        <v>1644</v>
      </c>
      <c r="D12">
        <v>2022</v>
      </c>
      <c r="E12">
        <v>2018</v>
      </c>
      <c r="F12" s="259">
        <f t="shared" si="0"/>
        <v>1.3371624000000004</v>
      </c>
      <c r="G12" t="s">
        <v>1781</v>
      </c>
      <c r="H12">
        <v>2020</v>
      </c>
      <c r="I12" t="s">
        <v>1783</v>
      </c>
      <c r="J12" t="s">
        <v>2916</v>
      </c>
      <c r="K12" s="336">
        <v>2030</v>
      </c>
      <c r="P12" s="325">
        <f t="shared" si="6"/>
        <v>0.26743248000000008</v>
      </c>
      <c r="Q12" s="80">
        <f t="shared" si="6"/>
        <v>0.26743248000000008</v>
      </c>
      <c r="R12" s="80">
        <f t="shared" ref="R12:R13" si="7">$AI$3</f>
        <v>0.22731760800000009</v>
      </c>
      <c r="S12" s="80">
        <f>$AJ$3</f>
        <v>0.18720273600000006</v>
      </c>
      <c r="T12" s="80"/>
      <c r="X12" s="54" t="s">
        <v>1857</v>
      </c>
      <c r="Y12" s="377">
        <v>3</v>
      </c>
      <c r="Z12" s="377">
        <v>1</v>
      </c>
      <c r="AA12" s="377">
        <v>1</v>
      </c>
      <c r="AB12" s="377">
        <v>3</v>
      </c>
      <c r="AC12" s="377">
        <v>1</v>
      </c>
      <c r="AD12" s="1044"/>
      <c r="AF12" s="1044"/>
    </row>
    <row r="13" spans="1:40" x14ac:dyDescent="0.25">
      <c r="A13" t="s">
        <v>4769</v>
      </c>
      <c r="B13" t="s">
        <v>95</v>
      </c>
      <c r="C13" t="s">
        <v>1644</v>
      </c>
      <c r="D13">
        <v>2022</v>
      </c>
      <c r="E13">
        <v>2018</v>
      </c>
      <c r="F13" s="259">
        <f t="shared" si="0"/>
        <v>1.3371624000000004</v>
      </c>
      <c r="G13" t="s">
        <v>1781</v>
      </c>
      <c r="H13">
        <v>2020</v>
      </c>
      <c r="I13" t="s">
        <v>1783</v>
      </c>
      <c r="J13" t="s">
        <v>2916</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7">
        <v>3</v>
      </c>
      <c r="Z13" s="377">
        <v>1</v>
      </c>
      <c r="AA13" s="377">
        <v>1</v>
      </c>
      <c r="AB13" s="377">
        <v>3</v>
      </c>
      <c r="AC13" s="377">
        <v>1</v>
      </c>
      <c r="AD13" s="1044"/>
      <c r="AF13" s="1044"/>
    </row>
    <row r="14" spans="1:40" x14ac:dyDescent="0.25">
      <c r="A14" t="s">
        <v>4769</v>
      </c>
      <c r="B14" t="s">
        <v>95</v>
      </c>
      <c r="C14" t="s">
        <v>1644</v>
      </c>
      <c r="D14">
        <v>2022</v>
      </c>
      <c r="E14">
        <v>2018</v>
      </c>
      <c r="F14" s="259">
        <f t="shared" si="0"/>
        <v>1.3371624000000004</v>
      </c>
      <c r="G14" t="s">
        <v>1781</v>
      </c>
      <c r="H14">
        <v>2020</v>
      </c>
      <c r="I14" t="s">
        <v>1783</v>
      </c>
      <c r="J14" t="s">
        <v>2916</v>
      </c>
      <c r="K14" s="336">
        <v>2040</v>
      </c>
      <c r="O14" s="80"/>
      <c r="P14" s="325"/>
      <c r="R14" s="80"/>
      <c r="S14" s="80">
        <f t="shared" si="8"/>
        <v>0.18720273600000006</v>
      </c>
      <c r="T14" s="80">
        <f t="shared" ref="T14:T15" si="9">$AK$3</f>
        <v>0.18720273600000006</v>
      </c>
      <c r="U14" s="80">
        <f>$AL$3</f>
        <v>0.18720273600000006</v>
      </c>
      <c r="X14" s="54" t="s">
        <v>1857</v>
      </c>
      <c r="Y14" s="377">
        <v>3</v>
      </c>
      <c r="Z14" s="377">
        <v>1</v>
      </c>
      <c r="AA14" s="377">
        <v>1</v>
      </c>
      <c r="AB14" s="377">
        <v>3</v>
      </c>
      <c r="AC14" s="377">
        <v>1</v>
      </c>
      <c r="AD14" s="1044"/>
      <c r="AF14" s="1044"/>
    </row>
    <row r="15" spans="1:40" x14ac:dyDescent="0.25">
      <c r="A15" t="s">
        <v>4769</v>
      </c>
      <c r="B15" t="s">
        <v>95</v>
      </c>
      <c r="C15" t="s">
        <v>1644</v>
      </c>
      <c r="D15">
        <v>2022</v>
      </c>
      <c r="E15">
        <v>2018</v>
      </c>
      <c r="F15" s="259">
        <f t="shared" si="0"/>
        <v>1.3371624000000004</v>
      </c>
      <c r="G15" t="s">
        <v>1781</v>
      </c>
      <c r="H15">
        <v>2020</v>
      </c>
      <c r="I15" t="s">
        <v>1783</v>
      </c>
      <c r="J15" t="s">
        <v>2916</v>
      </c>
      <c r="K15" s="336">
        <v>2045</v>
      </c>
      <c r="P15" s="325"/>
      <c r="T15" s="80">
        <f t="shared" si="9"/>
        <v>0.18720273600000006</v>
      </c>
      <c r="U15" s="80">
        <f t="shared" ref="U15:U16" si="10">$AL$3</f>
        <v>0.18720273600000006</v>
      </c>
      <c r="V15" s="80">
        <f>$AM$3</f>
        <v>0.18720273600000006</v>
      </c>
      <c r="X15" s="54" t="s">
        <v>1857</v>
      </c>
      <c r="Y15" s="377">
        <v>3</v>
      </c>
      <c r="Z15" s="377">
        <v>1</v>
      </c>
      <c r="AA15" s="377">
        <v>1</v>
      </c>
      <c r="AB15" s="377">
        <v>3</v>
      </c>
      <c r="AC15" s="377">
        <v>1</v>
      </c>
      <c r="AD15" s="1044"/>
      <c r="AF15" s="1044"/>
    </row>
    <row r="16" spans="1:40" x14ac:dyDescent="0.25">
      <c r="A16" t="s">
        <v>4769</v>
      </c>
      <c r="B16" t="s">
        <v>95</v>
      </c>
      <c r="C16" t="s">
        <v>1644</v>
      </c>
      <c r="D16">
        <v>2022</v>
      </c>
      <c r="E16">
        <v>2018</v>
      </c>
      <c r="F16" s="259">
        <f t="shared" si="0"/>
        <v>1.3371624000000004</v>
      </c>
      <c r="G16" t="s">
        <v>1781</v>
      </c>
      <c r="H16">
        <v>2020</v>
      </c>
      <c r="I16" t="s">
        <v>1783</v>
      </c>
      <c r="J16" t="s">
        <v>2916</v>
      </c>
      <c r="K16" s="336">
        <v>2050</v>
      </c>
      <c r="N16" s="80"/>
      <c r="O16" s="80"/>
      <c r="P16" s="325"/>
      <c r="U16" s="80">
        <f t="shared" si="10"/>
        <v>0.18720273600000006</v>
      </c>
      <c r="V16" s="80">
        <f>$AM$3</f>
        <v>0.18720273600000006</v>
      </c>
      <c r="W16" s="80">
        <f>$AN$3</f>
        <v>0.18720273600000006</v>
      </c>
      <c r="X16" s="54" t="s">
        <v>1857</v>
      </c>
      <c r="Y16" s="377">
        <v>3</v>
      </c>
      <c r="Z16" s="377">
        <v>1</v>
      </c>
      <c r="AA16" s="377">
        <v>1</v>
      </c>
      <c r="AB16" s="377">
        <v>3</v>
      </c>
      <c r="AC16" s="377">
        <v>1</v>
      </c>
      <c r="AD16" s="1044"/>
      <c r="AF16" s="1044"/>
    </row>
    <row r="17" spans="1:32" x14ac:dyDescent="0.25">
      <c r="A17" t="s">
        <v>1825</v>
      </c>
      <c r="B17" t="s">
        <v>95</v>
      </c>
      <c r="C17" t="s">
        <v>1644</v>
      </c>
      <c r="D17">
        <v>2022</v>
      </c>
      <c r="E17">
        <v>2018</v>
      </c>
      <c r="F17" s="259">
        <f t="shared" si="0"/>
        <v>1.3371624000000004</v>
      </c>
      <c r="G17" t="s">
        <v>1781</v>
      </c>
      <c r="H17">
        <v>2020</v>
      </c>
      <c r="I17" t="s">
        <v>1783</v>
      </c>
      <c r="J17" t="s">
        <v>2916</v>
      </c>
      <c r="K17" s="336">
        <v>2021</v>
      </c>
      <c r="N17" s="80"/>
      <c r="O17" s="80"/>
      <c r="P17" s="325"/>
      <c r="Q17" s="80">
        <f>$AH$4</f>
        <v>9.3601368000000032E-2</v>
      </c>
      <c r="R17" s="80"/>
      <c r="S17" s="80"/>
      <c r="T17" s="80"/>
      <c r="X17" s="54" t="s">
        <v>1858</v>
      </c>
      <c r="Y17" s="377">
        <v>3</v>
      </c>
      <c r="Z17" s="377">
        <v>1</v>
      </c>
      <c r="AA17" s="377">
        <v>1</v>
      </c>
      <c r="AB17" s="377">
        <v>3</v>
      </c>
      <c r="AC17" s="377">
        <v>1</v>
      </c>
      <c r="AD17" s="1044"/>
      <c r="AF17" s="1044"/>
    </row>
    <row r="18" spans="1:32" x14ac:dyDescent="0.25">
      <c r="A18" t="s">
        <v>1825</v>
      </c>
      <c r="B18" t="s">
        <v>95</v>
      </c>
      <c r="C18" t="s">
        <v>1644</v>
      </c>
      <c r="D18">
        <v>2022</v>
      </c>
      <c r="E18">
        <v>2018</v>
      </c>
      <c r="F18" s="259">
        <f t="shared" si="0"/>
        <v>1.3371624000000004</v>
      </c>
      <c r="G18" t="s">
        <v>1781</v>
      </c>
      <c r="H18">
        <v>2020</v>
      </c>
      <c r="I18" t="s">
        <v>1783</v>
      </c>
      <c r="J18" t="s">
        <v>2916</v>
      </c>
      <c r="K18" s="336">
        <v>2025</v>
      </c>
      <c r="O18" s="80"/>
      <c r="P18" s="325"/>
      <c r="Q18" s="80">
        <f>$AH$4</f>
        <v>9.3601368000000032E-2</v>
      </c>
      <c r="R18" s="80">
        <f>$AI$4</f>
        <v>9.3601368000000032E-2</v>
      </c>
      <c r="S18" s="80"/>
      <c r="T18" s="80"/>
      <c r="X18" s="54" t="s">
        <v>1858</v>
      </c>
      <c r="Y18" s="377">
        <v>3</v>
      </c>
      <c r="Z18" s="377">
        <v>1</v>
      </c>
      <c r="AA18" s="377">
        <v>1</v>
      </c>
      <c r="AB18" s="377">
        <v>3</v>
      </c>
      <c r="AC18" s="377">
        <v>1</v>
      </c>
      <c r="AD18" s="1044"/>
      <c r="AF18" s="1044"/>
    </row>
    <row r="19" spans="1:32" x14ac:dyDescent="0.25">
      <c r="A19" t="s">
        <v>1825</v>
      </c>
      <c r="B19" t="s">
        <v>95</v>
      </c>
      <c r="C19" t="s">
        <v>1644</v>
      </c>
      <c r="D19">
        <v>2022</v>
      </c>
      <c r="E19">
        <v>2018</v>
      </c>
      <c r="F19" s="259">
        <f t="shared" si="0"/>
        <v>1.3371624000000004</v>
      </c>
      <c r="G19" t="s">
        <v>1781</v>
      </c>
      <c r="H19">
        <v>2020</v>
      </c>
      <c r="I19" t="s">
        <v>1783</v>
      </c>
      <c r="J19" t="s">
        <v>2916</v>
      </c>
      <c r="K19" s="336">
        <v>2030</v>
      </c>
      <c r="P19" s="325"/>
      <c r="Q19" s="80">
        <f>$AH$4</f>
        <v>9.3601368000000032E-2</v>
      </c>
      <c r="R19" s="80">
        <f>$AI$4</f>
        <v>9.3601368000000032E-2</v>
      </c>
      <c r="S19" s="80">
        <f>$AJ$4</f>
        <v>9.3601368000000032E-2</v>
      </c>
      <c r="T19" s="80"/>
      <c r="X19" s="54" t="s">
        <v>1858</v>
      </c>
      <c r="Y19" s="377">
        <v>3</v>
      </c>
      <c r="Z19" s="377">
        <v>1</v>
      </c>
      <c r="AA19" s="377">
        <v>1</v>
      </c>
      <c r="AB19" s="377">
        <v>3</v>
      </c>
      <c r="AC19" s="377">
        <v>1</v>
      </c>
      <c r="AD19" s="1044"/>
      <c r="AF19" s="1044"/>
    </row>
    <row r="20" spans="1:32" x14ac:dyDescent="0.25">
      <c r="A20" t="s">
        <v>1825</v>
      </c>
      <c r="B20" t="s">
        <v>95</v>
      </c>
      <c r="C20" t="s">
        <v>1644</v>
      </c>
      <c r="D20">
        <v>2022</v>
      </c>
      <c r="E20">
        <v>2018</v>
      </c>
      <c r="F20" s="259">
        <f t="shared" si="0"/>
        <v>1.3371624000000004</v>
      </c>
      <c r="G20" t="s">
        <v>1781</v>
      </c>
      <c r="H20">
        <v>2020</v>
      </c>
      <c r="I20" t="s">
        <v>1783</v>
      </c>
      <c r="J20" t="s">
        <v>2916</v>
      </c>
      <c r="K20" s="336">
        <v>2035</v>
      </c>
      <c r="N20" s="80"/>
      <c r="O20" s="80"/>
      <c r="P20" s="325"/>
      <c r="Q20" s="80">
        <f>$AH$4</f>
        <v>9.3601368000000032E-2</v>
      </c>
      <c r="R20" s="80">
        <f>$AI$4</f>
        <v>9.3601368000000032E-2</v>
      </c>
      <c r="S20" s="80">
        <f>$AJ$4</f>
        <v>9.3601368000000032E-2</v>
      </c>
      <c r="T20" s="80">
        <f>$AK$4</f>
        <v>9.3601368000000032E-2</v>
      </c>
      <c r="X20" s="54" t="s">
        <v>1858</v>
      </c>
      <c r="Y20" s="377">
        <v>3</v>
      </c>
      <c r="Z20" s="377">
        <v>1</v>
      </c>
      <c r="AA20" s="377">
        <v>1</v>
      </c>
      <c r="AB20" s="377">
        <v>3</v>
      </c>
      <c r="AC20" s="377">
        <v>1</v>
      </c>
      <c r="AD20" s="1044"/>
      <c r="AF20" s="1044"/>
    </row>
    <row r="21" spans="1:32" x14ac:dyDescent="0.25">
      <c r="A21" t="s">
        <v>1825</v>
      </c>
      <c r="B21" t="s">
        <v>95</v>
      </c>
      <c r="C21" t="s">
        <v>1644</v>
      </c>
      <c r="D21">
        <v>2022</v>
      </c>
      <c r="E21">
        <v>2018</v>
      </c>
      <c r="F21" s="259">
        <f t="shared" si="0"/>
        <v>1.3371624000000004</v>
      </c>
      <c r="G21" t="s">
        <v>1781</v>
      </c>
      <c r="H21">
        <v>2020</v>
      </c>
      <c r="I21" t="s">
        <v>1783</v>
      </c>
      <c r="J21" t="s">
        <v>2916</v>
      </c>
      <c r="K21" s="336">
        <v>2040</v>
      </c>
      <c r="O21" s="80"/>
      <c r="P21" s="325"/>
      <c r="R21" s="80"/>
      <c r="S21" s="80">
        <f>$AJ$4</f>
        <v>9.3601368000000032E-2</v>
      </c>
      <c r="T21" s="80">
        <f>$AK$4</f>
        <v>9.3601368000000032E-2</v>
      </c>
      <c r="U21" s="80">
        <f>$AL$4</f>
        <v>9.3601368000000032E-2</v>
      </c>
      <c r="X21" s="54" t="s">
        <v>1858</v>
      </c>
      <c r="Y21" s="377">
        <v>3</v>
      </c>
      <c r="Z21" s="377">
        <v>1</v>
      </c>
      <c r="AA21" s="377">
        <v>1</v>
      </c>
      <c r="AB21" s="377">
        <v>3</v>
      </c>
      <c r="AC21" s="377">
        <v>1</v>
      </c>
      <c r="AD21" s="1044"/>
      <c r="AF21" s="1044"/>
    </row>
    <row r="22" spans="1:32" x14ac:dyDescent="0.25">
      <c r="A22" t="s">
        <v>1825</v>
      </c>
      <c r="B22" t="s">
        <v>95</v>
      </c>
      <c r="C22" t="s">
        <v>1644</v>
      </c>
      <c r="D22">
        <v>2022</v>
      </c>
      <c r="E22">
        <v>2018</v>
      </c>
      <c r="F22" s="259">
        <f t="shared" si="0"/>
        <v>1.3371624000000004</v>
      </c>
      <c r="G22" t="s">
        <v>1781</v>
      </c>
      <c r="H22">
        <v>2020</v>
      </c>
      <c r="I22" t="s">
        <v>1783</v>
      </c>
      <c r="J22" t="s">
        <v>2916</v>
      </c>
      <c r="K22" s="336">
        <v>2045</v>
      </c>
      <c r="P22" s="325"/>
      <c r="T22" s="80">
        <f>$AK$4</f>
        <v>9.3601368000000032E-2</v>
      </c>
      <c r="U22" s="80">
        <f>$AL$4</f>
        <v>9.3601368000000032E-2</v>
      </c>
      <c r="V22" s="80">
        <f>$AM$4</f>
        <v>9.3601368000000032E-2</v>
      </c>
      <c r="X22" s="54" t="s">
        <v>1858</v>
      </c>
      <c r="Y22" s="377">
        <v>3</v>
      </c>
      <c r="Z22" s="377">
        <v>1</v>
      </c>
      <c r="AA22" s="377">
        <v>1</v>
      </c>
      <c r="AB22" s="377">
        <v>3</v>
      </c>
      <c r="AC22" s="377">
        <v>1</v>
      </c>
      <c r="AD22" s="1044"/>
      <c r="AF22" s="1044"/>
    </row>
    <row r="23" spans="1:32" x14ac:dyDescent="0.25">
      <c r="A23" t="s">
        <v>1825</v>
      </c>
      <c r="B23" t="s">
        <v>95</v>
      </c>
      <c r="C23" t="s">
        <v>1644</v>
      </c>
      <c r="D23">
        <v>2022</v>
      </c>
      <c r="E23">
        <v>2018</v>
      </c>
      <c r="F23" s="259">
        <f t="shared" si="0"/>
        <v>1.3371624000000004</v>
      </c>
      <c r="G23" t="s">
        <v>1781</v>
      </c>
      <c r="H23">
        <v>2020</v>
      </c>
      <c r="I23" t="s">
        <v>1783</v>
      </c>
      <c r="J23" t="s">
        <v>2916</v>
      </c>
      <c r="K23" s="336">
        <v>2050</v>
      </c>
      <c r="N23" s="80"/>
      <c r="O23" s="80"/>
      <c r="P23" s="325"/>
      <c r="U23" s="80">
        <f>$AL$4</f>
        <v>9.3601368000000032E-2</v>
      </c>
      <c r="V23" s="80">
        <f>$AM$4</f>
        <v>9.3601368000000032E-2</v>
      </c>
      <c r="W23" s="80">
        <f>$AN$4</f>
        <v>9.3601368000000032E-2</v>
      </c>
      <c r="X23" s="54" t="s">
        <v>1858</v>
      </c>
      <c r="Y23" s="377">
        <v>3</v>
      </c>
      <c r="Z23" s="377">
        <v>1</v>
      </c>
      <c r="AA23" s="377">
        <v>1</v>
      </c>
      <c r="AB23" s="377">
        <v>3</v>
      </c>
      <c r="AC23" s="377">
        <v>1</v>
      </c>
      <c r="AD23" s="1044"/>
      <c r="AF23" s="1044"/>
    </row>
    <row r="24" spans="1:32" x14ac:dyDescent="0.25">
      <c r="A24" t="s">
        <v>1821</v>
      </c>
      <c r="B24" t="s">
        <v>95</v>
      </c>
      <c r="C24" t="s">
        <v>1644</v>
      </c>
      <c r="D24">
        <v>2022</v>
      </c>
      <c r="E24">
        <v>2018</v>
      </c>
      <c r="F24" s="259">
        <f t="shared" si="0"/>
        <v>1.3371624000000004</v>
      </c>
      <c r="G24" t="s">
        <v>1781</v>
      </c>
      <c r="H24">
        <v>2020</v>
      </c>
      <c r="I24" t="s">
        <v>1783</v>
      </c>
      <c r="J24" t="s">
        <v>2916</v>
      </c>
      <c r="K24" s="336">
        <v>2021</v>
      </c>
      <c r="N24" s="80">
        <f>$AH$4</f>
        <v>9.3601368000000032E-2</v>
      </c>
      <c r="O24" s="80">
        <f>$AH$4</f>
        <v>9.3601368000000032E-2</v>
      </c>
      <c r="P24" s="325">
        <f>$AH$4</f>
        <v>9.3601368000000032E-2</v>
      </c>
      <c r="Q24" s="80">
        <f>$AH$4</f>
        <v>9.3601368000000032E-2</v>
      </c>
      <c r="R24" s="80"/>
      <c r="S24" s="80"/>
      <c r="T24" s="80"/>
      <c r="X24" s="54" t="s">
        <v>1858</v>
      </c>
      <c r="Y24" s="377">
        <v>3</v>
      </c>
      <c r="Z24" s="377">
        <v>1</v>
      </c>
      <c r="AA24" s="377">
        <v>1</v>
      </c>
      <c r="AB24" s="377">
        <v>3</v>
      </c>
      <c r="AC24" s="377">
        <v>1</v>
      </c>
      <c r="AD24" s="1044"/>
      <c r="AF24" s="1044"/>
    </row>
    <row r="25" spans="1:32" x14ac:dyDescent="0.25">
      <c r="A25" t="s">
        <v>1821</v>
      </c>
      <c r="B25" t="s">
        <v>95</v>
      </c>
      <c r="C25" t="s">
        <v>1644</v>
      </c>
      <c r="D25">
        <v>2022</v>
      </c>
      <c r="E25">
        <v>2018</v>
      </c>
      <c r="F25" s="259">
        <f t="shared" si="0"/>
        <v>1.3371624000000004</v>
      </c>
      <c r="G25" t="s">
        <v>1781</v>
      </c>
      <c r="H25">
        <v>2020</v>
      </c>
      <c r="I25" t="s">
        <v>1783</v>
      </c>
      <c r="J25" t="s">
        <v>2916</v>
      </c>
      <c r="K25" s="336">
        <v>2025</v>
      </c>
      <c r="O25" s="80">
        <f>$AH$4</f>
        <v>9.3601368000000032E-2</v>
      </c>
      <c r="P25" s="325">
        <f>$AH$4</f>
        <v>9.3601368000000032E-2</v>
      </c>
      <c r="Q25" s="80">
        <f>$AH$4</f>
        <v>9.3601368000000032E-2</v>
      </c>
      <c r="R25" s="80">
        <f>$AI$4</f>
        <v>9.3601368000000032E-2</v>
      </c>
      <c r="S25" s="80"/>
      <c r="T25" s="80"/>
      <c r="X25" s="54" t="s">
        <v>1858</v>
      </c>
      <c r="Y25" s="377">
        <v>3</v>
      </c>
      <c r="Z25" s="377">
        <v>1</v>
      </c>
      <c r="AA25" s="377">
        <v>1</v>
      </c>
      <c r="AB25" s="377">
        <v>3</v>
      </c>
      <c r="AC25" s="377">
        <v>1</v>
      </c>
      <c r="AD25" s="1044"/>
      <c r="AF25" s="1044"/>
    </row>
    <row r="26" spans="1:32" x14ac:dyDescent="0.25">
      <c r="A26" t="s">
        <v>1821</v>
      </c>
      <c r="B26" t="s">
        <v>95</v>
      </c>
      <c r="C26" t="s">
        <v>1644</v>
      </c>
      <c r="D26">
        <v>2022</v>
      </c>
      <c r="E26">
        <v>2018</v>
      </c>
      <c r="F26" s="259">
        <f t="shared" si="0"/>
        <v>1.3371624000000004</v>
      </c>
      <c r="G26" t="s">
        <v>1781</v>
      </c>
      <c r="H26">
        <v>2020</v>
      </c>
      <c r="I26" t="s">
        <v>1783</v>
      </c>
      <c r="J26" t="s">
        <v>2916</v>
      </c>
      <c r="K26" s="336">
        <v>2030</v>
      </c>
      <c r="P26" s="325">
        <f>$AH$4</f>
        <v>9.3601368000000032E-2</v>
      </c>
      <c r="Q26" s="80">
        <f>$AH$4</f>
        <v>9.3601368000000032E-2</v>
      </c>
      <c r="R26" s="80">
        <f>$AI$4</f>
        <v>9.3601368000000032E-2</v>
      </c>
      <c r="S26" s="80">
        <f>$AJ$4</f>
        <v>9.3601368000000032E-2</v>
      </c>
      <c r="T26" s="80"/>
      <c r="X26" s="54" t="s">
        <v>1858</v>
      </c>
      <c r="Y26" s="377">
        <v>3</v>
      </c>
      <c r="Z26" s="377">
        <v>1</v>
      </c>
      <c r="AA26" s="377">
        <v>1</v>
      </c>
      <c r="AB26" s="377">
        <v>3</v>
      </c>
      <c r="AC26" s="377">
        <v>1</v>
      </c>
      <c r="AD26" s="1044"/>
      <c r="AF26" s="1044"/>
    </row>
    <row r="27" spans="1:32" x14ac:dyDescent="0.25">
      <c r="A27" t="s">
        <v>1821</v>
      </c>
      <c r="B27" t="s">
        <v>95</v>
      </c>
      <c r="C27" t="s">
        <v>1644</v>
      </c>
      <c r="D27">
        <v>2022</v>
      </c>
      <c r="E27">
        <v>2018</v>
      </c>
      <c r="F27" s="259">
        <f t="shared" si="0"/>
        <v>1.3371624000000004</v>
      </c>
      <c r="G27" t="s">
        <v>1781</v>
      </c>
      <c r="H27">
        <v>2020</v>
      </c>
      <c r="I27" t="s">
        <v>1783</v>
      </c>
      <c r="J27" t="s">
        <v>2916</v>
      </c>
      <c r="K27" s="336">
        <v>2035</v>
      </c>
      <c r="N27" s="80"/>
      <c r="O27" s="80"/>
      <c r="P27" s="325"/>
      <c r="Q27" s="80">
        <f>$AH$4</f>
        <v>9.3601368000000032E-2</v>
      </c>
      <c r="R27" s="80">
        <f>$AI$4</f>
        <v>9.3601368000000032E-2</v>
      </c>
      <c r="S27" s="80">
        <f>$AJ$4</f>
        <v>9.3601368000000032E-2</v>
      </c>
      <c r="T27" s="80">
        <f>$AK$4</f>
        <v>9.3601368000000032E-2</v>
      </c>
      <c r="X27" s="54" t="s">
        <v>1858</v>
      </c>
      <c r="Y27" s="377">
        <v>3</v>
      </c>
      <c r="Z27" s="377">
        <v>1</v>
      </c>
      <c r="AA27" s="377">
        <v>1</v>
      </c>
      <c r="AB27" s="377">
        <v>3</v>
      </c>
      <c r="AC27" s="377">
        <v>1</v>
      </c>
      <c r="AD27" s="1044"/>
      <c r="AF27" s="1044"/>
    </row>
    <row r="28" spans="1:32" x14ac:dyDescent="0.25">
      <c r="A28" t="s">
        <v>1821</v>
      </c>
      <c r="B28" t="s">
        <v>95</v>
      </c>
      <c r="C28" t="s">
        <v>1644</v>
      </c>
      <c r="D28">
        <v>2022</v>
      </c>
      <c r="E28">
        <v>2018</v>
      </c>
      <c r="F28" s="259">
        <f t="shared" si="0"/>
        <v>1.3371624000000004</v>
      </c>
      <c r="G28" t="s">
        <v>1781</v>
      </c>
      <c r="H28">
        <v>2020</v>
      </c>
      <c r="I28" t="s">
        <v>1783</v>
      </c>
      <c r="J28" t="s">
        <v>2916</v>
      </c>
      <c r="K28" s="336">
        <v>2040</v>
      </c>
      <c r="O28" s="80"/>
      <c r="P28" s="325"/>
      <c r="R28" s="80"/>
      <c r="S28" s="80">
        <f>$AJ$4</f>
        <v>9.3601368000000032E-2</v>
      </c>
      <c r="T28" s="80">
        <f>$AK$4</f>
        <v>9.3601368000000032E-2</v>
      </c>
      <c r="U28" s="80">
        <f>$AL$4</f>
        <v>9.3601368000000032E-2</v>
      </c>
      <c r="X28" s="54" t="s">
        <v>1858</v>
      </c>
      <c r="Y28" s="377">
        <v>3</v>
      </c>
      <c r="Z28" s="377">
        <v>1</v>
      </c>
      <c r="AA28" s="377">
        <v>1</v>
      </c>
      <c r="AB28" s="377">
        <v>3</v>
      </c>
      <c r="AC28" s="377">
        <v>1</v>
      </c>
      <c r="AD28" s="1044"/>
      <c r="AF28" s="1044"/>
    </row>
    <row r="29" spans="1:32" x14ac:dyDescent="0.25">
      <c r="A29" t="s">
        <v>1821</v>
      </c>
      <c r="B29" t="s">
        <v>95</v>
      </c>
      <c r="C29" t="s">
        <v>1644</v>
      </c>
      <c r="D29">
        <v>2022</v>
      </c>
      <c r="E29">
        <v>2018</v>
      </c>
      <c r="F29" s="259">
        <f t="shared" si="0"/>
        <v>1.3371624000000004</v>
      </c>
      <c r="G29" t="s">
        <v>1781</v>
      </c>
      <c r="H29">
        <v>2020</v>
      </c>
      <c r="I29" t="s">
        <v>1783</v>
      </c>
      <c r="J29" t="s">
        <v>2916</v>
      </c>
      <c r="K29" s="336">
        <v>2045</v>
      </c>
      <c r="P29" s="325"/>
      <c r="T29" s="80">
        <f>$AK$4</f>
        <v>9.3601368000000032E-2</v>
      </c>
      <c r="U29" s="80">
        <f>$AL$4</f>
        <v>9.3601368000000032E-2</v>
      </c>
      <c r="V29" s="80">
        <f>$AM$4</f>
        <v>9.3601368000000032E-2</v>
      </c>
      <c r="X29" s="54" t="s">
        <v>1858</v>
      </c>
      <c r="Y29" s="377">
        <v>3</v>
      </c>
      <c r="Z29" s="377">
        <v>1</v>
      </c>
      <c r="AA29" s="377">
        <v>1</v>
      </c>
      <c r="AB29" s="377">
        <v>3</v>
      </c>
      <c r="AC29" s="377">
        <v>1</v>
      </c>
      <c r="AD29" s="1044"/>
      <c r="AF29" s="1044"/>
    </row>
    <row r="30" spans="1:32" x14ac:dyDescent="0.25">
      <c r="A30" t="s">
        <v>1821</v>
      </c>
      <c r="B30" t="s">
        <v>95</v>
      </c>
      <c r="C30" t="s">
        <v>1644</v>
      </c>
      <c r="D30">
        <v>2022</v>
      </c>
      <c r="E30">
        <v>2018</v>
      </c>
      <c r="F30" s="259">
        <f t="shared" si="0"/>
        <v>1.3371624000000004</v>
      </c>
      <c r="G30" t="s">
        <v>1781</v>
      </c>
      <c r="H30">
        <v>2020</v>
      </c>
      <c r="I30" t="s">
        <v>1783</v>
      </c>
      <c r="J30" t="s">
        <v>2916</v>
      </c>
      <c r="K30" s="336">
        <v>2050</v>
      </c>
      <c r="N30" s="80"/>
      <c r="O30" s="80"/>
      <c r="P30" s="325"/>
      <c r="U30" s="80">
        <f>$AL$4</f>
        <v>9.3601368000000032E-2</v>
      </c>
      <c r="V30" s="80">
        <f>$AM$4</f>
        <v>9.3601368000000032E-2</v>
      </c>
      <c r="W30" s="80">
        <f>$AN$4</f>
        <v>9.3601368000000032E-2</v>
      </c>
      <c r="X30" s="54" t="s">
        <v>1858</v>
      </c>
      <c r="Y30" s="377">
        <v>3</v>
      </c>
      <c r="Z30" s="377">
        <v>1</v>
      </c>
      <c r="AA30" s="377">
        <v>1</v>
      </c>
      <c r="AB30" s="377">
        <v>3</v>
      </c>
      <c r="AC30" s="377">
        <v>1</v>
      </c>
      <c r="AD30" s="1044"/>
      <c r="AF30" s="1044"/>
    </row>
    <row r="31" spans="1:32" x14ac:dyDescent="0.25">
      <c r="A31" t="s">
        <v>1869</v>
      </c>
      <c r="B31" t="s">
        <v>95</v>
      </c>
      <c r="C31" t="s">
        <v>1644</v>
      </c>
      <c r="D31">
        <v>2022</v>
      </c>
      <c r="E31">
        <v>2018</v>
      </c>
      <c r="F31" s="259">
        <f t="shared" si="0"/>
        <v>1.3371624000000004</v>
      </c>
      <c r="G31" t="s">
        <v>1781</v>
      </c>
      <c r="H31">
        <v>2020</v>
      </c>
      <c r="I31" t="s">
        <v>1783</v>
      </c>
      <c r="J31" t="s">
        <v>2013</v>
      </c>
      <c r="K31" s="336">
        <v>2021</v>
      </c>
      <c r="O31" s="80"/>
      <c r="P31" s="325"/>
      <c r="Q31" s="80">
        <f>'OEO &amp; EPAUS9rT Data'!S$92*USD2018_to_CAD2020</f>
        <v>7.3410215760000028</v>
      </c>
      <c r="X31" s="54" t="s">
        <v>1910</v>
      </c>
      <c r="Y31" s="377">
        <v>3</v>
      </c>
      <c r="Z31" s="377">
        <v>1</v>
      </c>
      <c r="AA31" s="377">
        <v>1</v>
      </c>
      <c r="AB31" s="377">
        <v>3</v>
      </c>
      <c r="AC31" s="377">
        <v>1</v>
      </c>
      <c r="AD31" s="1044"/>
      <c r="AF31" s="1044"/>
    </row>
    <row r="32" spans="1:32" x14ac:dyDescent="0.25">
      <c r="A32" t="s">
        <v>1869</v>
      </c>
      <c r="B32" t="s">
        <v>95</v>
      </c>
      <c r="C32" t="s">
        <v>1644</v>
      </c>
      <c r="D32">
        <v>2022</v>
      </c>
      <c r="E32">
        <v>2018</v>
      </c>
      <c r="F32" s="259">
        <f t="shared" si="0"/>
        <v>1.3371624000000004</v>
      </c>
      <c r="G32" t="s">
        <v>1781</v>
      </c>
      <c r="H32">
        <v>2020</v>
      </c>
      <c r="I32" t="s">
        <v>1783</v>
      </c>
      <c r="J32" t="s">
        <v>2013</v>
      </c>
      <c r="K32" s="336">
        <v>2025</v>
      </c>
      <c r="P32" s="325"/>
      <c r="Q32" s="80">
        <f>'OEO &amp; EPAUS9rT Data'!S$92*USD2018_to_CAD2020</f>
        <v>7.3410215760000028</v>
      </c>
      <c r="R32" s="80">
        <f>'OEO &amp; EPAUS9rT Data'!T$92*USD2018_to_CAD2020</f>
        <v>7.3410215760000028</v>
      </c>
      <c r="X32" s="54" t="s">
        <v>1910</v>
      </c>
      <c r="Y32" s="377">
        <v>3</v>
      </c>
      <c r="Z32" s="377">
        <v>1</v>
      </c>
      <c r="AA32" s="377">
        <v>1</v>
      </c>
      <c r="AB32" s="377">
        <v>3</v>
      </c>
      <c r="AC32" s="377">
        <v>1</v>
      </c>
      <c r="AD32" s="1044"/>
      <c r="AF32" s="1044"/>
    </row>
    <row r="33" spans="1:32" x14ac:dyDescent="0.25">
      <c r="A33" t="s">
        <v>1869</v>
      </c>
      <c r="B33" t="s">
        <v>95</v>
      </c>
      <c r="C33" t="s">
        <v>1644</v>
      </c>
      <c r="D33">
        <v>2022</v>
      </c>
      <c r="E33">
        <v>2018</v>
      </c>
      <c r="F33" s="259">
        <f t="shared" si="0"/>
        <v>1.3371624000000004</v>
      </c>
      <c r="G33" t="s">
        <v>1781</v>
      </c>
      <c r="H33">
        <v>2020</v>
      </c>
      <c r="I33" t="s">
        <v>1783</v>
      </c>
      <c r="J33" t="s">
        <v>2013</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1910</v>
      </c>
      <c r="Y33" s="377">
        <v>3</v>
      </c>
      <c r="Z33" s="377">
        <v>1</v>
      </c>
      <c r="AA33" s="377">
        <v>1</v>
      </c>
      <c r="AB33" s="377">
        <v>3</v>
      </c>
      <c r="AC33" s="377">
        <v>1</v>
      </c>
      <c r="AD33" s="1044"/>
      <c r="AF33" s="1044"/>
    </row>
    <row r="34" spans="1:32" x14ac:dyDescent="0.25">
      <c r="A34" t="s">
        <v>1869</v>
      </c>
      <c r="B34" t="s">
        <v>95</v>
      </c>
      <c r="C34" t="s">
        <v>1644</v>
      </c>
      <c r="D34">
        <v>2022</v>
      </c>
      <c r="E34">
        <v>2018</v>
      </c>
      <c r="F34" s="259">
        <f t="shared" si="0"/>
        <v>1.3371624000000004</v>
      </c>
      <c r="G34" t="s">
        <v>1781</v>
      </c>
      <c r="H34">
        <v>2020</v>
      </c>
      <c r="I34" t="s">
        <v>1783</v>
      </c>
      <c r="J34" t="s">
        <v>2013</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1910</v>
      </c>
      <c r="Y34" s="377">
        <v>3</v>
      </c>
      <c r="Z34" s="377">
        <v>1</v>
      </c>
      <c r="AA34" s="377">
        <v>1</v>
      </c>
      <c r="AB34" s="377">
        <v>3</v>
      </c>
      <c r="AC34" s="377">
        <v>1</v>
      </c>
      <c r="AD34" s="1044"/>
      <c r="AF34" s="1044"/>
    </row>
    <row r="35" spans="1:32" x14ac:dyDescent="0.25">
      <c r="A35" t="s">
        <v>1869</v>
      </c>
      <c r="B35" t="s">
        <v>95</v>
      </c>
      <c r="C35" t="s">
        <v>1644</v>
      </c>
      <c r="D35">
        <v>2022</v>
      </c>
      <c r="E35">
        <v>2018</v>
      </c>
      <c r="F35" s="259">
        <f t="shared" si="0"/>
        <v>1.3371624000000004</v>
      </c>
      <c r="G35" t="s">
        <v>1781</v>
      </c>
      <c r="H35">
        <v>2020</v>
      </c>
      <c r="I35" t="s">
        <v>1783</v>
      </c>
      <c r="J35" t="s">
        <v>2013</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1910</v>
      </c>
      <c r="Y35" s="377">
        <v>3</v>
      </c>
      <c r="Z35" s="377">
        <v>1</v>
      </c>
      <c r="AA35" s="377">
        <v>1</v>
      </c>
      <c r="AB35" s="377">
        <v>3</v>
      </c>
      <c r="AC35" s="377">
        <v>1</v>
      </c>
      <c r="AD35" s="1044"/>
      <c r="AF35" s="1044"/>
    </row>
    <row r="36" spans="1:32" x14ac:dyDescent="0.25">
      <c r="A36" t="s">
        <v>1869</v>
      </c>
      <c r="B36" t="s">
        <v>95</v>
      </c>
      <c r="C36" t="s">
        <v>1644</v>
      </c>
      <c r="D36">
        <v>2022</v>
      </c>
      <c r="E36">
        <v>2018</v>
      </c>
      <c r="F36" s="259">
        <f t="shared" si="0"/>
        <v>1.3371624000000004</v>
      </c>
      <c r="G36" t="s">
        <v>1781</v>
      </c>
      <c r="H36">
        <v>2020</v>
      </c>
      <c r="I36" t="s">
        <v>1783</v>
      </c>
      <c r="J36" t="s">
        <v>2013</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1910</v>
      </c>
      <c r="Y36" s="377">
        <v>3</v>
      </c>
      <c r="Z36" s="377">
        <v>1</v>
      </c>
      <c r="AA36" s="377">
        <v>1</v>
      </c>
      <c r="AB36" s="377">
        <v>3</v>
      </c>
      <c r="AC36" s="377">
        <v>1</v>
      </c>
      <c r="AD36" s="1044"/>
      <c r="AF36" s="1044"/>
    </row>
    <row r="37" spans="1:32" x14ac:dyDescent="0.25">
      <c r="A37" t="s">
        <v>1869</v>
      </c>
      <c r="B37" t="s">
        <v>95</v>
      </c>
      <c r="C37" t="s">
        <v>1644</v>
      </c>
      <c r="D37">
        <v>2022</v>
      </c>
      <c r="E37">
        <v>2018</v>
      </c>
      <c r="F37" s="259">
        <f t="shared" si="0"/>
        <v>1.3371624000000004</v>
      </c>
      <c r="G37" t="s">
        <v>1781</v>
      </c>
      <c r="H37">
        <v>2020</v>
      </c>
      <c r="I37" t="s">
        <v>1783</v>
      </c>
      <c r="J37" t="s">
        <v>2013</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1910</v>
      </c>
      <c r="Y37" s="377">
        <v>3</v>
      </c>
      <c r="Z37" s="377">
        <v>1</v>
      </c>
      <c r="AA37" s="377">
        <v>1</v>
      </c>
      <c r="AB37" s="377">
        <v>3</v>
      </c>
      <c r="AC37" s="377">
        <v>1</v>
      </c>
      <c r="AD37" s="1044"/>
      <c r="AF37" s="1044"/>
    </row>
    <row r="38" spans="1:32" x14ac:dyDescent="0.25">
      <c r="A38" t="s">
        <v>1870</v>
      </c>
      <c r="B38" t="s">
        <v>95</v>
      </c>
      <c r="C38" t="s">
        <v>1644</v>
      </c>
      <c r="D38">
        <v>2022</v>
      </c>
      <c r="E38">
        <v>2018</v>
      </c>
      <c r="F38" s="259">
        <f t="shared" si="0"/>
        <v>1.3371624000000004</v>
      </c>
      <c r="G38" t="s">
        <v>1781</v>
      </c>
      <c r="H38">
        <v>2020</v>
      </c>
      <c r="I38" t="s">
        <v>1783</v>
      </c>
      <c r="J38" t="s">
        <v>2916</v>
      </c>
      <c r="K38" s="336">
        <v>2021</v>
      </c>
      <c r="O38" s="80"/>
      <c r="P38" s="325"/>
      <c r="Q38" s="80">
        <f>'OEO &amp; EPAUS9rT Data'!S$93*USD2018_to_CAD2020</f>
        <v>2.7411829200000004</v>
      </c>
      <c r="X38" s="54" t="s">
        <v>1910</v>
      </c>
      <c r="Y38" s="377">
        <v>3</v>
      </c>
      <c r="Z38" s="377">
        <v>1</v>
      </c>
      <c r="AA38" s="377">
        <v>1</v>
      </c>
      <c r="AB38" s="377">
        <v>3</v>
      </c>
      <c r="AC38" s="377">
        <v>1</v>
      </c>
      <c r="AD38" s="1044"/>
      <c r="AF38" s="1044"/>
    </row>
    <row r="39" spans="1:32" x14ac:dyDescent="0.25">
      <c r="A39" t="s">
        <v>1870</v>
      </c>
      <c r="B39" t="s">
        <v>95</v>
      </c>
      <c r="C39" t="s">
        <v>1644</v>
      </c>
      <c r="D39">
        <v>2022</v>
      </c>
      <c r="E39">
        <v>2018</v>
      </c>
      <c r="F39" s="259">
        <f t="shared" si="0"/>
        <v>1.3371624000000004</v>
      </c>
      <c r="G39" t="s">
        <v>1781</v>
      </c>
      <c r="H39">
        <v>2020</v>
      </c>
      <c r="I39" t="s">
        <v>1783</v>
      </c>
      <c r="J39" t="s">
        <v>2916</v>
      </c>
      <c r="K39" s="336">
        <v>2025</v>
      </c>
      <c r="P39" s="325"/>
      <c r="Q39" s="80">
        <f>'OEO &amp; EPAUS9rT Data'!S$93*USD2018_to_CAD2020</f>
        <v>2.7411829200000004</v>
      </c>
      <c r="R39" s="80">
        <f>'OEO &amp; EPAUS9rT Data'!T$93*USD2018_to_CAD2020</f>
        <v>2.7411829200000004</v>
      </c>
      <c r="X39" s="54" t="s">
        <v>1910</v>
      </c>
      <c r="Y39" s="377">
        <v>3</v>
      </c>
      <c r="Z39" s="377">
        <v>1</v>
      </c>
      <c r="AA39" s="377">
        <v>1</v>
      </c>
      <c r="AB39" s="377">
        <v>3</v>
      </c>
      <c r="AC39" s="377">
        <v>1</v>
      </c>
      <c r="AD39" s="1044"/>
      <c r="AF39" s="1044"/>
    </row>
    <row r="40" spans="1:32" x14ac:dyDescent="0.25">
      <c r="A40" t="s">
        <v>1870</v>
      </c>
      <c r="B40" t="s">
        <v>95</v>
      </c>
      <c r="C40" t="s">
        <v>1644</v>
      </c>
      <c r="D40">
        <v>2022</v>
      </c>
      <c r="E40">
        <v>2018</v>
      </c>
      <c r="F40" s="259">
        <f t="shared" si="0"/>
        <v>1.3371624000000004</v>
      </c>
      <c r="G40" t="s">
        <v>1781</v>
      </c>
      <c r="H40">
        <v>2020</v>
      </c>
      <c r="I40" t="s">
        <v>1783</v>
      </c>
      <c r="J40" t="s">
        <v>2916</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1910</v>
      </c>
      <c r="Y40" s="377">
        <v>3</v>
      </c>
      <c r="Z40" s="377">
        <v>1</v>
      </c>
      <c r="AA40" s="377">
        <v>1</v>
      </c>
      <c r="AB40" s="377">
        <v>3</v>
      </c>
      <c r="AC40" s="377">
        <v>1</v>
      </c>
      <c r="AD40" s="1044"/>
      <c r="AF40" s="1044"/>
    </row>
    <row r="41" spans="1:32" x14ac:dyDescent="0.25">
      <c r="A41" t="s">
        <v>1870</v>
      </c>
      <c r="B41" t="s">
        <v>95</v>
      </c>
      <c r="C41" t="s">
        <v>1644</v>
      </c>
      <c r="D41">
        <v>2022</v>
      </c>
      <c r="E41">
        <v>2018</v>
      </c>
      <c r="F41" s="259">
        <f t="shared" si="0"/>
        <v>1.3371624000000004</v>
      </c>
      <c r="G41" t="s">
        <v>1781</v>
      </c>
      <c r="H41">
        <v>2020</v>
      </c>
      <c r="I41" t="s">
        <v>1783</v>
      </c>
      <c r="J41" t="s">
        <v>2916</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1910</v>
      </c>
      <c r="Y41" s="377">
        <v>3</v>
      </c>
      <c r="Z41" s="377">
        <v>1</v>
      </c>
      <c r="AA41" s="377">
        <v>1</v>
      </c>
      <c r="AB41" s="377">
        <v>3</v>
      </c>
      <c r="AC41" s="377">
        <v>1</v>
      </c>
      <c r="AD41" s="1044"/>
      <c r="AF41" s="1044"/>
    </row>
    <row r="42" spans="1:32" x14ac:dyDescent="0.25">
      <c r="A42" t="s">
        <v>1870</v>
      </c>
      <c r="B42" t="s">
        <v>95</v>
      </c>
      <c r="C42" t="s">
        <v>1644</v>
      </c>
      <c r="D42">
        <v>2022</v>
      </c>
      <c r="E42">
        <v>2018</v>
      </c>
      <c r="F42" s="259">
        <f t="shared" ref="F42:F65" si="11">USD2018_to_CAD2020</f>
        <v>1.3371624000000004</v>
      </c>
      <c r="G42" t="s">
        <v>1781</v>
      </c>
      <c r="H42">
        <v>2020</v>
      </c>
      <c r="I42" t="s">
        <v>1783</v>
      </c>
      <c r="J42" t="s">
        <v>2916</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1910</v>
      </c>
      <c r="Y42" s="377">
        <v>3</v>
      </c>
      <c r="Z42" s="377">
        <v>1</v>
      </c>
      <c r="AA42" s="377">
        <v>1</v>
      </c>
      <c r="AB42" s="377">
        <v>3</v>
      </c>
      <c r="AC42" s="377">
        <v>1</v>
      </c>
      <c r="AD42" s="1044"/>
      <c r="AF42" s="1044"/>
    </row>
    <row r="43" spans="1:32" x14ac:dyDescent="0.25">
      <c r="A43" t="s">
        <v>1870</v>
      </c>
      <c r="B43" t="s">
        <v>95</v>
      </c>
      <c r="C43" t="s">
        <v>1644</v>
      </c>
      <c r="D43">
        <v>2022</v>
      </c>
      <c r="E43">
        <v>2018</v>
      </c>
      <c r="F43" s="259">
        <f t="shared" si="11"/>
        <v>1.3371624000000004</v>
      </c>
      <c r="G43" t="s">
        <v>1781</v>
      </c>
      <c r="H43">
        <v>2020</v>
      </c>
      <c r="I43" t="s">
        <v>1783</v>
      </c>
      <c r="J43" t="s">
        <v>2916</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1910</v>
      </c>
      <c r="Y43" s="377">
        <v>3</v>
      </c>
      <c r="Z43" s="377">
        <v>1</v>
      </c>
      <c r="AA43" s="377">
        <v>1</v>
      </c>
      <c r="AB43" s="377">
        <v>3</v>
      </c>
      <c r="AC43" s="377">
        <v>1</v>
      </c>
      <c r="AD43" s="1044"/>
      <c r="AF43" s="1044"/>
    </row>
    <row r="44" spans="1:32" x14ac:dyDescent="0.25">
      <c r="A44" t="s">
        <v>1870</v>
      </c>
      <c r="B44" t="s">
        <v>95</v>
      </c>
      <c r="C44" t="s">
        <v>1644</v>
      </c>
      <c r="D44">
        <v>2022</v>
      </c>
      <c r="E44">
        <v>2018</v>
      </c>
      <c r="F44" s="259">
        <f t="shared" si="11"/>
        <v>1.3371624000000004</v>
      </c>
      <c r="G44" t="s">
        <v>1781</v>
      </c>
      <c r="H44">
        <v>2020</v>
      </c>
      <c r="I44" t="s">
        <v>1783</v>
      </c>
      <c r="J44" t="s">
        <v>2916</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1910</v>
      </c>
      <c r="Y44" s="377">
        <v>3</v>
      </c>
      <c r="Z44" s="377">
        <v>1</v>
      </c>
      <c r="AA44" s="377">
        <v>1</v>
      </c>
      <c r="AB44" s="377">
        <v>3</v>
      </c>
      <c r="AC44" s="377">
        <v>1</v>
      </c>
      <c r="AD44" s="1044"/>
      <c r="AF44" s="1044"/>
    </row>
    <row r="45" spans="1:32" x14ac:dyDescent="0.25">
      <c r="A45" t="s">
        <v>1871</v>
      </c>
      <c r="B45" t="s">
        <v>95</v>
      </c>
      <c r="C45" t="s">
        <v>1644</v>
      </c>
      <c r="D45">
        <v>2022</v>
      </c>
      <c r="E45">
        <v>2018</v>
      </c>
      <c r="F45" s="259">
        <f t="shared" si="11"/>
        <v>1.3371624000000004</v>
      </c>
      <c r="G45" t="s">
        <v>1781</v>
      </c>
      <c r="H45">
        <v>2020</v>
      </c>
      <c r="I45" t="s">
        <v>1783</v>
      </c>
      <c r="J45" t="s">
        <v>2916</v>
      </c>
      <c r="K45" s="336">
        <v>2021</v>
      </c>
      <c r="O45" s="80"/>
      <c r="P45" s="325"/>
      <c r="Q45" s="80">
        <f>'OEO &amp; EPAUS9rT Data'!S$94*USD2018_to_CAD2020</f>
        <v>2.4603788160000009</v>
      </c>
      <c r="X45" s="54" t="s">
        <v>1911</v>
      </c>
      <c r="Y45" s="377">
        <v>3</v>
      </c>
      <c r="Z45" s="377">
        <v>1</v>
      </c>
      <c r="AA45" s="377">
        <v>1</v>
      </c>
      <c r="AB45" s="377">
        <v>3</v>
      </c>
      <c r="AC45" s="377">
        <v>1</v>
      </c>
      <c r="AD45" s="1044"/>
      <c r="AF45" s="1044"/>
    </row>
    <row r="46" spans="1:32" x14ac:dyDescent="0.25">
      <c r="A46" t="s">
        <v>1871</v>
      </c>
      <c r="B46" t="s">
        <v>95</v>
      </c>
      <c r="C46" t="s">
        <v>1644</v>
      </c>
      <c r="D46">
        <v>2022</v>
      </c>
      <c r="E46">
        <v>2018</v>
      </c>
      <c r="F46" s="259">
        <f t="shared" si="11"/>
        <v>1.3371624000000004</v>
      </c>
      <c r="G46" t="s">
        <v>1781</v>
      </c>
      <c r="H46">
        <v>2020</v>
      </c>
      <c r="I46" t="s">
        <v>1783</v>
      </c>
      <c r="J46" t="s">
        <v>2916</v>
      </c>
      <c r="K46" s="336">
        <v>2025</v>
      </c>
      <c r="P46" s="325"/>
      <c r="Q46" s="80">
        <f>'OEO &amp; EPAUS9rT Data'!S$94*USD2018_to_CAD2020</f>
        <v>2.4603788160000009</v>
      </c>
      <c r="R46" s="80">
        <f>'OEO &amp; EPAUS9rT Data'!T$94*USD2018_to_CAD2020</f>
        <v>2.4603788160000009</v>
      </c>
      <c r="X46" s="54" t="s">
        <v>1911</v>
      </c>
      <c r="Y46" s="377">
        <v>3</v>
      </c>
      <c r="Z46" s="377">
        <v>1</v>
      </c>
      <c r="AA46" s="377">
        <v>1</v>
      </c>
      <c r="AB46" s="377">
        <v>3</v>
      </c>
      <c r="AC46" s="377">
        <v>1</v>
      </c>
      <c r="AD46" s="1044"/>
      <c r="AF46" s="1044"/>
    </row>
    <row r="47" spans="1:32" x14ac:dyDescent="0.25">
      <c r="A47" t="s">
        <v>1871</v>
      </c>
      <c r="B47" t="s">
        <v>95</v>
      </c>
      <c r="C47" t="s">
        <v>1644</v>
      </c>
      <c r="D47">
        <v>2022</v>
      </c>
      <c r="E47">
        <v>2018</v>
      </c>
      <c r="F47" s="259">
        <f t="shared" si="11"/>
        <v>1.3371624000000004</v>
      </c>
      <c r="G47" t="s">
        <v>1781</v>
      </c>
      <c r="H47">
        <v>2020</v>
      </c>
      <c r="I47" t="s">
        <v>1783</v>
      </c>
      <c r="J47" t="s">
        <v>2916</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1911</v>
      </c>
      <c r="Y47" s="377">
        <v>3</v>
      </c>
      <c r="Z47" s="377">
        <v>1</v>
      </c>
      <c r="AA47" s="377">
        <v>1</v>
      </c>
      <c r="AB47" s="377">
        <v>3</v>
      </c>
      <c r="AC47" s="377">
        <v>1</v>
      </c>
      <c r="AD47" s="1044"/>
      <c r="AF47" s="1044"/>
    </row>
    <row r="48" spans="1:32" x14ac:dyDescent="0.25">
      <c r="A48" t="s">
        <v>1871</v>
      </c>
      <c r="B48" t="s">
        <v>95</v>
      </c>
      <c r="C48" t="s">
        <v>1644</v>
      </c>
      <c r="D48">
        <v>2022</v>
      </c>
      <c r="E48">
        <v>2018</v>
      </c>
      <c r="F48" s="259">
        <f t="shared" si="11"/>
        <v>1.3371624000000004</v>
      </c>
      <c r="G48" t="s">
        <v>1781</v>
      </c>
      <c r="H48">
        <v>2020</v>
      </c>
      <c r="I48" t="s">
        <v>1783</v>
      </c>
      <c r="J48" t="s">
        <v>2916</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1911</v>
      </c>
      <c r="Y48" s="377">
        <v>3</v>
      </c>
      <c r="Z48" s="377">
        <v>1</v>
      </c>
      <c r="AA48" s="377">
        <v>1</v>
      </c>
      <c r="AB48" s="377">
        <v>3</v>
      </c>
      <c r="AC48" s="377">
        <v>1</v>
      </c>
      <c r="AD48" s="1044"/>
      <c r="AF48" s="1044"/>
    </row>
    <row r="49" spans="1:32" x14ac:dyDescent="0.25">
      <c r="A49" t="s">
        <v>1871</v>
      </c>
      <c r="B49" t="s">
        <v>95</v>
      </c>
      <c r="C49" t="s">
        <v>1644</v>
      </c>
      <c r="D49">
        <v>2022</v>
      </c>
      <c r="E49">
        <v>2018</v>
      </c>
      <c r="F49" s="259">
        <f t="shared" si="11"/>
        <v>1.3371624000000004</v>
      </c>
      <c r="G49" t="s">
        <v>1781</v>
      </c>
      <c r="H49">
        <v>2020</v>
      </c>
      <c r="I49" t="s">
        <v>1783</v>
      </c>
      <c r="J49" t="s">
        <v>2916</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1911</v>
      </c>
      <c r="Y49" s="377">
        <v>3</v>
      </c>
      <c r="Z49" s="377">
        <v>1</v>
      </c>
      <c r="AA49" s="377">
        <v>1</v>
      </c>
      <c r="AB49" s="377">
        <v>3</v>
      </c>
      <c r="AC49" s="377">
        <v>1</v>
      </c>
      <c r="AD49" s="1044"/>
      <c r="AF49" s="1044"/>
    </row>
    <row r="50" spans="1:32" x14ac:dyDescent="0.25">
      <c r="A50" t="s">
        <v>1871</v>
      </c>
      <c r="B50" t="s">
        <v>95</v>
      </c>
      <c r="C50" t="s">
        <v>1644</v>
      </c>
      <c r="D50">
        <v>2022</v>
      </c>
      <c r="E50">
        <v>2018</v>
      </c>
      <c r="F50" s="259">
        <f t="shared" si="11"/>
        <v>1.3371624000000004</v>
      </c>
      <c r="G50" t="s">
        <v>1781</v>
      </c>
      <c r="H50">
        <v>2020</v>
      </c>
      <c r="I50" t="s">
        <v>1783</v>
      </c>
      <c r="J50" t="s">
        <v>2916</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1911</v>
      </c>
      <c r="Y50" s="377">
        <v>3</v>
      </c>
      <c r="Z50" s="377">
        <v>1</v>
      </c>
      <c r="AA50" s="377">
        <v>1</v>
      </c>
      <c r="AB50" s="377">
        <v>3</v>
      </c>
      <c r="AC50" s="377">
        <v>1</v>
      </c>
      <c r="AD50" s="1044"/>
      <c r="AF50" s="1044"/>
    </row>
    <row r="51" spans="1:32" x14ac:dyDescent="0.25">
      <c r="A51" t="s">
        <v>1871</v>
      </c>
      <c r="B51" t="s">
        <v>95</v>
      </c>
      <c r="C51" t="s">
        <v>1644</v>
      </c>
      <c r="D51">
        <v>2022</v>
      </c>
      <c r="E51">
        <v>2018</v>
      </c>
      <c r="F51" s="259">
        <f t="shared" si="11"/>
        <v>1.3371624000000004</v>
      </c>
      <c r="G51" t="s">
        <v>1781</v>
      </c>
      <c r="H51">
        <v>2020</v>
      </c>
      <c r="I51" t="s">
        <v>1783</v>
      </c>
      <c r="J51" t="s">
        <v>2916</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1911</v>
      </c>
      <c r="Y51" s="377">
        <v>3</v>
      </c>
      <c r="Z51" s="377">
        <v>1</v>
      </c>
      <c r="AA51" s="377">
        <v>1</v>
      </c>
      <c r="AB51" s="377">
        <v>3</v>
      </c>
      <c r="AC51" s="377">
        <v>1</v>
      </c>
      <c r="AD51" s="1044"/>
      <c r="AF51" s="1044"/>
    </row>
    <row r="52" spans="1:32" x14ac:dyDescent="0.25">
      <c r="A52" t="s">
        <v>1872</v>
      </c>
      <c r="B52" t="s">
        <v>95</v>
      </c>
      <c r="C52" t="s">
        <v>1644</v>
      </c>
      <c r="D52">
        <v>2022</v>
      </c>
      <c r="E52">
        <v>2018</v>
      </c>
      <c r="F52" s="259">
        <f t="shared" si="11"/>
        <v>1.3371624000000004</v>
      </c>
      <c r="G52" t="s">
        <v>1781</v>
      </c>
      <c r="H52">
        <v>2020</v>
      </c>
      <c r="I52" t="s">
        <v>1783</v>
      </c>
      <c r="J52" t="s">
        <v>2916</v>
      </c>
      <c r="K52" s="336">
        <v>2021</v>
      </c>
      <c r="O52" s="80"/>
      <c r="P52" s="325"/>
      <c r="Q52" s="80">
        <f>'OEO &amp; EPAUS9rT Data'!S$94*USD2018_to_CAD2020</f>
        <v>2.4603788160000009</v>
      </c>
      <c r="X52" s="54" t="s">
        <v>1910</v>
      </c>
      <c r="Y52" s="377">
        <v>3</v>
      </c>
      <c r="Z52" s="377">
        <v>1</v>
      </c>
      <c r="AA52" s="377">
        <v>1</v>
      </c>
      <c r="AB52" s="377">
        <v>3</v>
      </c>
      <c r="AC52" s="377">
        <v>1</v>
      </c>
      <c r="AD52" s="1044"/>
      <c r="AF52" s="1044"/>
    </row>
    <row r="53" spans="1:32" x14ac:dyDescent="0.25">
      <c r="A53" t="s">
        <v>1872</v>
      </c>
      <c r="B53" t="s">
        <v>95</v>
      </c>
      <c r="C53" t="s">
        <v>1644</v>
      </c>
      <c r="D53">
        <v>2022</v>
      </c>
      <c r="E53">
        <v>2018</v>
      </c>
      <c r="F53" s="259">
        <f t="shared" si="11"/>
        <v>1.3371624000000004</v>
      </c>
      <c r="G53" t="s">
        <v>1781</v>
      </c>
      <c r="H53">
        <v>2020</v>
      </c>
      <c r="I53" t="s">
        <v>1783</v>
      </c>
      <c r="J53" t="s">
        <v>2916</v>
      </c>
      <c r="K53" s="336">
        <v>2025</v>
      </c>
      <c r="P53" s="325"/>
      <c r="Q53" s="80">
        <f>'OEO &amp; EPAUS9rT Data'!S$94*USD2018_to_CAD2020</f>
        <v>2.4603788160000009</v>
      </c>
      <c r="R53" s="80">
        <f>'OEO &amp; EPAUS9rT Data'!T$94*USD2018_to_CAD2020</f>
        <v>2.4603788160000009</v>
      </c>
      <c r="X53" s="54" t="s">
        <v>1910</v>
      </c>
      <c r="Y53" s="377">
        <v>3</v>
      </c>
      <c r="Z53" s="377">
        <v>1</v>
      </c>
      <c r="AA53" s="377">
        <v>1</v>
      </c>
      <c r="AB53" s="377">
        <v>3</v>
      </c>
      <c r="AC53" s="377">
        <v>1</v>
      </c>
      <c r="AD53" s="1044"/>
      <c r="AF53" s="1044"/>
    </row>
    <row r="54" spans="1:32" x14ac:dyDescent="0.25">
      <c r="A54" t="s">
        <v>1872</v>
      </c>
      <c r="B54" t="s">
        <v>95</v>
      </c>
      <c r="C54" t="s">
        <v>1644</v>
      </c>
      <c r="D54">
        <v>2022</v>
      </c>
      <c r="E54">
        <v>2018</v>
      </c>
      <c r="F54" s="259">
        <f t="shared" si="11"/>
        <v>1.3371624000000004</v>
      </c>
      <c r="G54" t="s">
        <v>1781</v>
      </c>
      <c r="H54">
        <v>2020</v>
      </c>
      <c r="I54" t="s">
        <v>1783</v>
      </c>
      <c r="J54" t="s">
        <v>2916</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1910</v>
      </c>
      <c r="Y54" s="377">
        <v>3</v>
      </c>
      <c r="Z54" s="377">
        <v>1</v>
      </c>
      <c r="AA54" s="377">
        <v>1</v>
      </c>
      <c r="AB54" s="377">
        <v>3</v>
      </c>
      <c r="AC54" s="377">
        <v>1</v>
      </c>
      <c r="AD54" s="1044"/>
      <c r="AF54" s="1044"/>
    </row>
    <row r="55" spans="1:32" x14ac:dyDescent="0.25">
      <c r="A55" t="s">
        <v>1872</v>
      </c>
      <c r="B55" t="s">
        <v>95</v>
      </c>
      <c r="C55" t="s">
        <v>1644</v>
      </c>
      <c r="D55">
        <v>2022</v>
      </c>
      <c r="E55">
        <v>2018</v>
      </c>
      <c r="F55" s="259">
        <f t="shared" si="11"/>
        <v>1.3371624000000004</v>
      </c>
      <c r="G55" t="s">
        <v>1781</v>
      </c>
      <c r="H55">
        <v>2020</v>
      </c>
      <c r="I55" t="s">
        <v>1783</v>
      </c>
      <c r="J55" t="s">
        <v>2916</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1910</v>
      </c>
      <c r="Y55" s="377">
        <v>3</v>
      </c>
      <c r="Z55" s="377">
        <v>1</v>
      </c>
      <c r="AA55" s="377">
        <v>1</v>
      </c>
      <c r="AB55" s="377">
        <v>3</v>
      </c>
      <c r="AC55" s="377">
        <v>1</v>
      </c>
      <c r="AD55" s="1044"/>
      <c r="AF55" s="1044"/>
    </row>
    <row r="56" spans="1:32" x14ac:dyDescent="0.25">
      <c r="A56" t="s">
        <v>1872</v>
      </c>
      <c r="B56" t="s">
        <v>95</v>
      </c>
      <c r="C56" t="s">
        <v>1644</v>
      </c>
      <c r="D56">
        <v>2022</v>
      </c>
      <c r="E56">
        <v>2018</v>
      </c>
      <c r="F56" s="259">
        <f t="shared" si="11"/>
        <v>1.3371624000000004</v>
      </c>
      <c r="G56" t="s">
        <v>1781</v>
      </c>
      <c r="H56">
        <v>2020</v>
      </c>
      <c r="I56" t="s">
        <v>1783</v>
      </c>
      <c r="J56" t="s">
        <v>2916</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1910</v>
      </c>
      <c r="Y56" s="377">
        <v>3</v>
      </c>
      <c r="Z56" s="377">
        <v>1</v>
      </c>
      <c r="AA56" s="377">
        <v>1</v>
      </c>
      <c r="AB56" s="377">
        <v>3</v>
      </c>
      <c r="AC56" s="377">
        <v>1</v>
      </c>
      <c r="AD56" s="1044"/>
      <c r="AF56" s="1044"/>
    </row>
    <row r="57" spans="1:32" x14ac:dyDescent="0.25">
      <c r="A57" t="s">
        <v>1872</v>
      </c>
      <c r="B57" t="s">
        <v>95</v>
      </c>
      <c r="C57" t="s">
        <v>1644</v>
      </c>
      <c r="D57">
        <v>2022</v>
      </c>
      <c r="E57">
        <v>2018</v>
      </c>
      <c r="F57" s="259">
        <f t="shared" si="11"/>
        <v>1.3371624000000004</v>
      </c>
      <c r="G57" t="s">
        <v>1781</v>
      </c>
      <c r="H57">
        <v>2020</v>
      </c>
      <c r="I57" t="s">
        <v>1783</v>
      </c>
      <c r="J57" t="s">
        <v>2916</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1910</v>
      </c>
      <c r="Y57" s="377">
        <v>3</v>
      </c>
      <c r="Z57" s="377">
        <v>1</v>
      </c>
      <c r="AA57" s="377">
        <v>1</v>
      </c>
      <c r="AB57" s="377">
        <v>3</v>
      </c>
      <c r="AC57" s="377">
        <v>1</v>
      </c>
      <c r="AD57" s="1044"/>
      <c r="AF57" s="1044"/>
    </row>
    <row r="58" spans="1:32" x14ac:dyDescent="0.25">
      <c r="A58" t="s">
        <v>1872</v>
      </c>
      <c r="B58" t="s">
        <v>95</v>
      </c>
      <c r="C58" t="s">
        <v>1644</v>
      </c>
      <c r="D58">
        <v>2022</v>
      </c>
      <c r="E58">
        <v>2018</v>
      </c>
      <c r="F58" s="259">
        <f t="shared" si="11"/>
        <v>1.3371624000000004</v>
      </c>
      <c r="G58" t="s">
        <v>1781</v>
      </c>
      <c r="H58">
        <v>2020</v>
      </c>
      <c r="I58" t="s">
        <v>1783</v>
      </c>
      <c r="J58" t="s">
        <v>2916</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1910</v>
      </c>
      <c r="Y58" s="377">
        <v>3</v>
      </c>
      <c r="Z58" s="377">
        <v>1</v>
      </c>
      <c r="AA58" s="377">
        <v>1</v>
      </c>
      <c r="AB58" s="377">
        <v>3</v>
      </c>
      <c r="AC58" s="377">
        <v>1</v>
      </c>
    </row>
    <row r="59" spans="1:32" x14ac:dyDescent="0.25">
      <c r="A59" t="s">
        <v>2882</v>
      </c>
      <c r="B59" t="s">
        <v>95</v>
      </c>
      <c r="C59" t="s">
        <v>1644</v>
      </c>
      <c r="D59">
        <v>2022</v>
      </c>
      <c r="E59">
        <v>2018</v>
      </c>
      <c r="F59" s="259">
        <f t="shared" si="11"/>
        <v>1.3371624000000004</v>
      </c>
      <c r="G59" t="s">
        <v>1781</v>
      </c>
      <c r="H59">
        <v>2020</v>
      </c>
      <c r="I59" t="s">
        <v>1783</v>
      </c>
      <c r="J59" t="s">
        <v>2013</v>
      </c>
      <c r="K59" s="336">
        <v>2021</v>
      </c>
      <c r="O59" s="80"/>
      <c r="P59" s="325"/>
      <c r="Q59" s="80">
        <f>'OEO &amp; EPAUS9rT Data'!S$112*USD2018_to_CAD2020</f>
        <v>6.0840889200000019</v>
      </c>
      <c r="X59" s="54" t="s">
        <v>1910</v>
      </c>
      <c r="Y59" s="377">
        <v>3</v>
      </c>
      <c r="Z59" s="377">
        <v>1</v>
      </c>
      <c r="AA59" s="377">
        <v>1</v>
      </c>
      <c r="AB59" s="377">
        <v>3</v>
      </c>
      <c r="AC59" s="377">
        <v>1</v>
      </c>
    </row>
    <row r="60" spans="1:32" x14ac:dyDescent="0.25">
      <c r="A60" t="s">
        <v>2882</v>
      </c>
      <c r="B60" t="s">
        <v>95</v>
      </c>
      <c r="C60" t="s">
        <v>1644</v>
      </c>
      <c r="D60">
        <v>2022</v>
      </c>
      <c r="E60">
        <v>2018</v>
      </c>
      <c r="F60" s="259">
        <f t="shared" si="11"/>
        <v>1.3371624000000004</v>
      </c>
      <c r="G60" t="s">
        <v>1781</v>
      </c>
      <c r="H60">
        <v>2020</v>
      </c>
      <c r="I60" t="s">
        <v>1783</v>
      </c>
      <c r="J60" t="s">
        <v>2013</v>
      </c>
      <c r="K60" s="336">
        <v>2025</v>
      </c>
      <c r="P60" s="325"/>
      <c r="Q60" s="80">
        <f>'OEO &amp; EPAUS9rT Data'!S$112*USD2018_to_CAD2020</f>
        <v>6.0840889200000019</v>
      </c>
      <c r="R60" s="80">
        <f>'OEO &amp; EPAUS9rT Data'!T$112*USD2018_to_CAD2020</f>
        <v>6.0840889200000019</v>
      </c>
      <c r="X60" s="54" t="s">
        <v>1910</v>
      </c>
      <c r="Y60" s="377">
        <v>3</v>
      </c>
      <c r="Z60" s="377">
        <v>1</v>
      </c>
      <c r="AA60" s="377">
        <v>1</v>
      </c>
      <c r="AB60" s="377">
        <v>3</v>
      </c>
      <c r="AC60" s="377">
        <v>1</v>
      </c>
    </row>
    <row r="61" spans="1:32" x14ac:dyDescent="0.25">
      <c r="A61" t="s">
        <v>2882</v>
      </c>
      <c r="B61" t="s">
        <v>95</v>
      </c>
      <c r="C61" t="s">
        <v>1644</v>
      </c>
      <c r="D61">
        <v>2022</v>
      </c>
      <c r="E61">
        <v>2018</v>
      </c>
      <c r="F61" s="259">
        <f t="shared" si="11"/>
        <v>1.3371624000000004</v>
      </c>
      <c r="G61" t="s">
        <v>1781</v>
      </c>
      <c r="H61">
        <v>2020</v>
      </c>
      <c r="I61" t="s">
        <v>1783</v>
      </c>
      <c r="J61" t="s">
        <v>2013</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1910</v>
      </c>
      <c r="Y61" s="377">
        <v>3</v>
      </c>
      <c r="Z61" s="377">
        <v>1</v>
      </c>
      <c r="AA61" s="377">
        <v>1</v>
      </c>
      <c r="AB61" s="377">
        <v>3</v>
      </c>
      <c r="AC61" s="377">
        <v>1</v>
      </c>
    </row>
    <row r="62" spans="1:32" x14ac:dyDescent="0.25">
      <c r="A62" t="s">
        <v>2882</v>
      </c>
      <c r="B62" t="s">
        <v>95</v>
      </c>
      <c r="C62" t="s">
        <v>1644</v>
      </c>
      <c r="D62">
        <v>2022</v>
      </c>
      <c r="E62">
        <v>2018</v>
      </c>
      <c r="F62" s="259">
        <f t="shared" si="11"/>
        <v>1.3371624000000004</v>
      </c>
      <c r="G62" t="s">
        <v>1781</v>
      </c>
      <c r="H62">
        <v>2020</v>
      </c>
      <c r="I62" t="s">
        <v>1783</v>
      </c>
      <c r="J62" t="s">
        <v>2013</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1910</v>
      </c>
      <c r="Y62" s="377">
        <v>3</v>
      </c>
      <c r="Z62" s="377">
        <v>1</v>
      </c>
      <c r="AA62" s="377">
        <v>1</v>
      </c>
      <c r="AB62" s="377">
        <v>3</v>
      </c>
      <c r="AC62" s="377">
        <v>1</v>
      </c>
    </row>
    <row r="63" spans="1:32" x14ac:dyDescent="0.25">
      <c r="A63" t="s">
        <v>2882</v>
      </c>
      <c r="B63" t="s">
        <v>95</v>
      </c>
      <c r="C63" t="s">
        <v>1644</v>
      </c>
      <c r="D63">
        <v>2022</v>
      </c>
      <c r="E63">
        <v>2018</v>
      </c>
      <c r="F63" s="259">
        <f t="shared" si="11"/>
        <v>1.3371624000000004</v>
      </c>
      <c r="G63" t="s">
        <v>1781</v>
      </c>
      <c r="H63">
        <v>2020</v>
      </c>
      <c r="I63" t="s">
        <v>1783</v>
      </c>
      <c r="J63" t="s">
        <v>2013</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1910</v>
      </c>
      <c r="Y63" s="377">
        <v>3</v>
      </c>
      <c r="Z63" s="377">
        <v>1</v>
      </c>
      <c r="AA63" s="377">
        <v>1</v>
      </c>
      <c r="AB63" s="377">
        <v>3</v>
      </c>
      <c r="AC63" s="377">
        <v>1</v>
      </c>
    </row>
    <row r="64" spans="1:32" x14ac:dyDescent="0.25">
      <c r="A64" t="s">
        <v>2882</v>
      </c>
      <c r="B64" t="s">
        <v>95</v>
      </c>
      <c r="C64" t="s">
        <v>1644</v>
      </c>
      <c r="D64">
        <v>2022</v>
      </c>
      <c r="E64">
        <v>2018</v>
      </c>
      <c r="F64" s="259">
        <f t="shared" si="11"/>
        <v>1.3371624000000004</v>
      </c>
      <c r="G64" t="s">
        <v>1781</v>
      </c>
      <c r="H64">
        <v>2020</v>
      </c>
      <c r="I64" t="s">
        <v>1783</v>
      </c>
      <c r="J64" t="s">
        <v>2013</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1910</v>
      </c>
      <c r="Y64" s="377">
        <v>3</v>
      </c>
      <c r="Z64" s="377">
        <v>1</v>
      </c>
      <c r="AA64" s="377">
        <v>1</v>
      </c>
      <c r="AB64" s="377">
        <v>3</v>
      </c>
      <c r="AC64" s="377">
        <v>1</v>
      </c>
    </row>
    <row r="65" spans="1:29" x14ac:dyDescent="0.25">
      <c r="A65" t="s">
        <v>2882</v>
      </c>
      <c r="B65" t="s">
        <v>95</v>
      </c>
      <c r="C65" t="s">
        <v>1644</v>
      </c>
      <c r="D65">
        <v>2022</v>
      </c>
      <c r="E65">
        <v>2018</v>
      </c>
      <c r="F65" s="259">
        <f t="shared" si="11"/>
        <v>1.3371624000000004</v>
      </c>
      <c r="G65" t="s">
        <v>1781</v>
      </c>
      <c r="H65">
        <v>2020</v>
      </c>
      <c r="I65" t="s">
        <v>1783</v>
      </c>
      <c r="J65" t="s">
        <v>2013</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1910</v>
      </c>
      <c r="Y65" s="377">
        <v>3</v>
      </c>
      <c r="Z65" s="377">
        <v>1</v>
      </c>
      <c r="AA65" s="377">
        <v>1</v>
      </c>
      <c r="AB65" s="377">
        <v>3</v>
      </c>
      <c r="AC65" s="377">
        <v>1</v>
      </c>
    </row>
    <row r="66" spans="1:29" x14ac:dyDescent="0.25">
      <c r="A66" t="s">
        <v>4689</v>
      </c>
      <c r="B66" t="s">
        <v>95</v>
      </c>
      <c r="C66" t="s">
        <v>4742</v>
      </c>
      <c r="D66">
        <v>2023</v>
      </c>
      <c r="E66">
        <v>2021</v>
      </c>
      <c r="F66" s="259">
        <f t="shared" ref="F66:F93" si="12">USD2021_to_CAD2020</f>
        <v>1.1642034728406054</v>
      </c>
      <c r="G66" t="s">
        <v>1781</v>
      </c>
      <c r="H66">
        <v>2020</v>
      </c>
      <c r="I66" t="s">
        <v>1783</v>
      </c>
      <c r="J66" t="s">
        <v>2013</v>
      </c>
      <c r="K66" s="336">
        <v>2021</v>
      </c>
      <c r="O66" s="80"/>
      <c r="P66" s="325"/>
      <c r="Q66" s="80">
        <f>'H2 Data'!$U$30</f>
        <v>36.218370040071235</v>
      </c>
      <c r="X66" s="54" t="s">
        <v>4743</v>
      </c>
      <c r="Y66" s="377">
        <v>2</v>
      </c>
      <c r="Z66" s="377">
        <v>1</v>
      </c>
      <c r="AA66" s="377">
        <v>1</v>
      </c>
      <c r="AB66" s="377">
        <v>3</v>
      </c>
      <c r="AC66" s="377">
        <v>1</v>
      </c>
    </row>
    <row r="67" spans="1:29" x14ac:dyDescent="0.25">
      <c r="A67" t="s">
        <v>4689</v>
      </c>
      <c r="B67" t="s">
        <v>95</v>
      </c>
      <c r="C67" t="s">
        <v>4742</v>
      </c>
      <c r="D67">
        <v>2023</v>
      </c>
      <c r="E67">
        <v>2021</v>
      </c>
      <c r="F67" s="259">
        <f t="shared" si="12"/>
        <v>1.1642034728406054</v>
      </c>
      <c r="G67" t="s">
        <v>1781</v>
      </c>
      <c r="H67">
        <v>2020</v>
      </c>
      <c r="I67" t="s">
        <v>1783</v>
      </c>
      <c r="J67" t="s">
        <v>2013</v>
      </c>
      <c r="K67" s="336">
        <v>2025</v>
      </c>
      <c r="P67" s="325"/>
      <c r="Q67" s="80">
        <f>'H2 Data'!$U$30</f>
        <v>36.218370040071235</v>
      </c>
      <c r="R67" s="80">
        <f>'H2 Data'!$V$30</f>
        <v>35.915092728836974</v>
      </c>
      <c r="X67" s="54" t="s">
        <v>4743</v>
      </c>
      <c r="Y67" s="377">
        <v>2</v>
      </c>
      <c r="Z67" s="377">
        <v>1</v>
      </c>
      <c r="AA67" s="377">
        <v>1</v>
      </c>
      <c r="AB67" s="377">
        <v>3</v>
      </c>
      <c r="AC67" s="377">
        <v>1</v>
      </c>
    </row>
    <row r="68" spans="1:29" x14ac:dyDescent="0.25">
      <c r="A68" t="s">
        <v>4689</v>
      </c>
      <c r="B68" t="s">
        <v>95</v>
      </c>
      <c r="C68" t="s">
        <v>4742</v>
      </c>
      <c r="D68">
        <v>2023</v>
      </c>
      <c r="E68">
        <v>2021</v>
      </c>
      <c r="F68" s="259">
        <f t="shared" si="12"/>
        <v>1.1642034728406054</v>
      </c>
      <c r="G68" t="s">
        <v>1781</v>
      </c>
      <c r="H68">
        <v>2020</v>
      </c>
      <c r="I68" t="s">
        <v>1783</v>
      </c>
      <c r="J68" t="s">
        <v>2013</v>
      </c>
      <c r="K68" s="336">
        <v>2030</v>
      </c>
      <c r="M68" s="80"/>
      <c r="N68" s="80"/>
      <c r="O68" s="80"/>
      <c r="P68" s="325"/>
      <c r="Q68" s="80">
        <f>'H2 Data'!$U$30</f>
        <v>36.218370040071235</v>
      </c>
      <c r="R68" s="80">
        <f>'H2 Data'!$V$30</f>
        <v>35.915092728836974</v>
      </c>
      <c r="S68" s="80">
        <f>'H2 Data'!$W$30</f>
        <v>35.539564788167723</v>
      </c>
      <c r="X68" s="54" t="s">
        <v>4743</v>
      </c>
      <c r="Y68" s="377">
        <v>2</v>
      </c>
      <c r="Z68" s="377">
        <v>1</v>
      </c>
      <c r="AA68" s="377">
        <v>1</v>
      </c>
      <c r="AB68" s="377">
        <v>3</v>
      </c>
      <c r="AC68" s="377">
        <v>1</v>
      </c>
    </row>
    <row r="69" spans="1:29" x14ac:dyDescent="0.25">
      <c r="A69" t="s">
        <v>4689</v>
      </c>
      <c r="B69" t="s">
        <v>95</v>
      </c>
      <c r="C69" t="s">
        <v>4742</v>
      </c>
      <c r="D69">
        <v>2023</v>
      </c>
      <c r="E69">
        <v>2021</v>
      </c>
      <c r="F69" s="259">
        <f t="shared" si="12"/>
        <v>1.1642034728406054</v>
      </c>
      <c r="G69" t="s">
        <v>1781</v>
      </c>
      <c r="H69">
        <v>2020</v>
      </c>
      <c r="I69" t="s">
        <v>1783</v>
      </c>
      <c r="J69" t="s">
        <v>2013</v>
      </c>
      <c r="K69" s="336">
        <v>2035</v>
      </c>
      <c r="N69" s="80"/>
      <c r="O69" s="80"/>
      <c r="P69" s="325"/>
      <c r="Q69" s="80">
        <f>'H2 Data'!$U$30</f>
        <v>36.218370040071235</v>
      </c>
      <c r="R69" s="80">
        <f>'H2 Data'!$V$30</f>
        <v>35.915092728836974</v>
      </c>
      <c r="S69" s="80">
        <f>'H2 Data'!$W$30</f>
        <v>35.539564788167723</v>
      </c>
      <c r="T69" s="80">
        <f>'H2 Data'!$X$30</f>
        <v>35.167963364834449</v>
      </c>
      <c r="X69" s="54" t="s">
        <v>4743</v>
      </c>
      <c r="Y69" s="377">
        <v>2</v>
      </c>
      <c r="Z69" s="377">
        <v>1</v>
      </c>
      <c r="AA69" s="377">
        <v>1</v>
      </c>
      <c r="AB69" s="377">
        <v>3</v>
      </c>
      <c r="AC69" s="377">
        <v>1</v>
      </c>
    </row>
    <row r="70" spans="1:29" x14ac:dyDescent="0.25">
      <c r="A70" t="s">
        <v>4689</v>
      </c>
      <c r="B70" t="s">
        <v>95</v>
      </c>
      <c r="C70" t="s">
        <v>4742</v>
      </c>
      <c r="D70">
        <v>2023</v>
      </c>
      <c r="E70">
        <v>2021</v>
      </c>
      <c r="F70" s="259">
        <f t="shared" si="12"/>
        <v>1.1642034728406054</v>
      </c>
      <c r="G70" t="s">
        <v>1781</v>
      </c>
      <c r="H70">
        <v>2020</v>
      </c>
      <c r="I70" t="s">
        <v>1783</v>
      </c>
      <c r="J70" t="s">
        <v>2013</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4743</v>
      </c>
      <c r="Y70" s="377">
        <v>2</v>
      </c>
      <c r="Z70" s="377">
        <v>1</v>
      </c>
      <c r="AA70" s="377">
        <v>1</v>
      </c>
      <c r="AB70" s="377">
        <v>3</v>
      </c>
      <c r="AC70" s="377">
        <v>1</v>
      </c>
    </row>
    <row r="71" spans="1:29" x14ac:dyDescent="0.25">
      <c r="A71" t="s">
        <v>4689</v>
      </c>
      <c r="B71" t="s">
        <v>95</v>
      </c>
      <c r="C71" t="s">
        <v>4742</v>
      </c>
      <c r="D71">
        <v>2023</v>
      </c>
      <c r="E71">
        <v>2021</v>
      </c>
      <c r="F71" s="259">
        <f t="shared" si="12"/>
        <v>1.1642034728406054</v>
      </c>
      <c r="G71" t="s">
        <v>1781</v>
      </c>
      <c r="H71">
        <v>2020</v>
      </c>
      <c r="I71" t="s">
        <v>1783</v>
      </c>
      <c r="J71" t="s">
        <v>2013</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4743</v>
      </c>
      <c r="Y71" s="377">
        <v>2</v>
      </c>
      <c r="Z71" s="377">
        <v>1</v>
      </c>
      <c r="AA71" s="377">
        <v>1</v>
      </c>
      <c r="AB71" s="377">
        <v>3</v>
      </c>
      <c r="AC71" s="377">
        <v>1</v>
      </c>
    </row>
    <row r="72" spans="1:29" x14ac:dyDescent="0.25">
      <c r="A72" t="s">
        <v>4689</v>
      </c>
      <c r="B72" t="s">
        <v>95</v>
      </c>
      <c r="C72" t="s">
        <v>4742</v>
      </c>
      <c r="D72">
        <v>2023</v>
      </c>
      <c r="E72">
        <v>2021</v>
      </c>
      <c r="F72" s="259">
        <f t="shared" si="12"/>
        <v>1.1642034728406054</v>
      </c>
      <c r="G72" t="s">
        <v>1781</v>
      </c>
      <c r="H72">
        <v>2020</v>
      </c>
      <c r="I72" t="s">
        <v>1783</v>
      </c>
      <c r="J72" t="s">
        <v>2013</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4743</v>
      </c>
      <c r="Y72" s="377">
        <v>2</v>
      </c>
      <c r="Z72" s="377">
        <v>1</v>
      </c>
      <c r="AA72" s="377">
        <v>1</v>
      </c>
      <c r="AB72" s="377">
        <v>3</v>
      </c>
      <c r="AC72" s="377">
        <v>1</v>
      </c>
    </row>
    <row r="73" spans="1:29" x14ac:dyDescent="0.25">
      <c r="A73" t="s">
        <v>4690</v>
      </c>
      <c r="B73" t="s">
        <v>95</v>
      </c>
      <c r="C73" t="s">
        <v>4742</v>
      </c>
      <c r="D73">
        <v>2023</v>
      </c>
      <c r="E73">
        <v>2021</v>
      </c>
      <c r="F73" s="259">
        <f t="shared" si="12"/>
        <v>1.1642034728406054</v>
      </c>
      <c r="G73" t="s">
        <v>1781</v>
      </c>
      <c r="H73">
        <v>2020</v>
      </c>
      <c r="I73" t="s">
        <v>1783</v>
      </c>
      <c r="J73" t="s">
        <v>2013</v>
      </c>
      <c r="K73" s="336">
        <v>2021</v>
      </c>
      <c r="O73" s="80"/>
      <c r="P73" s="325"/>
      <c r="Q73" s="80">
        <f>'H2 Data'!$U$31</f>
        <v>42.749551522707037</v>
      </c>
      <c r="X73" s="54" t="s">
        <v>4743</v>
      </c>
      <c r="Y73" s="377">
        <v>2</v>
      </c>
      <c r="Z73" s="377">
        <v>1</v>
      </c>
      <c r="AA73" s="377">
        <v>1</v>
      </c>
      <c r="AB73" s="377">
        <v>3</v>
      </c>
      <c r="AC73" s="377">
        <v>1</v>
      </c>
    </row>
    <row r="74" spans="1:29" x14ac:dyDescent="0.25">
      <c r="A74" t="s">
        <v>4690</v>
      </c>
      <c r="B74" t="s">
        <v>95</v>
      </c>
      <c r="C74" t="s">
        <v>4742</v>
      </c>
      <c r="D74">
        <v>2023</v>
      </c>
      <c r="E74">
        <v>2021</v>
      </c>
      <c r="F74" s="259">
        <f t="shared" si="12"/>
        <v>1.1642034728406054</v>
      </c>
      <c r="G74" t="s">
        <v>1781</v>
      </c>
      <c r="H74">
        <v>2020</v>
      </c>
      <c r="I74" t="s">
        <v>1783</v>
      </c>
      <c r="J74" t="s">
        <v>2013</v>
      </c>
      <c r="K74" s="336">
        <v>2025</v>
      </c>
      <c r="P74" s="325"/>
      <c r="Q74" s="80">
        <f>'H2 Data'!$U$31</f>
        <v>42.749551522707037</v>
      </c>
      <c r="R74" s="80">
        <f>'H2 Data'!$V$31</f>
        <v>41.951508246952613</v>
      </c>
      <c r="X74" s="54" t="s">
        <v>4743</v>
      </c>
      <c r="Y74" s="377">
        <v>2</v>
      </c>
      <c r="Z74" s="377">
        <v>1</v>
      </c>
      <c r="AA74" s="377">
        <v>1</v>
      </c>
      <c r="AB74" s="377">
        <v>3</v>
      </c>
      <c r="AC74" s="377">
        <v>1</v>
      </c>
    </row>
    <row r="75" spans="1:29" x14ac:dyDescent="0.25">
      <c r="A75" t="s">
        <v>4690</v>
      </c>
      <c r="B75" t="s">
        <v>95</v>
      </c>
      <c r="C75" t="s">
        <v>4742</v>
      </c>
      <c r="D75">
        <v>2023</v>
      </c>
      <c r="E75">
        <v>2021</v>
      </c>
      <c r="F75" s="259">
        <f t="shared" si="12"/>
        <v>1.1642034728406054</v>
      </c>
      <c r="G75" t="s">
        <v>1781</v>
      </c>
      <c r="H75">
        <v>2020</v>
      </c>
      <c r="I75" t="s">
        <v>1783</v>
      </c>
      <c r="J75" t="s">
        <v>2013</v>
      </c>
      <c r="K75" s="336">
        <v>2030</v>
      </c>
      <c r="M75" s="80"/>
      <c r="N75" s="80"/>
      <c r="O75" s="80"/>
      <c r="P75" s="325"/>
      <c r="Q75" s="80">
        <f>'H2 Data'!$U$31</f>
        <v>42.749551522707037</v>
      </c>
      <c r="R75" s="80">
        <f>'H2 Data'!$V$31</f>
        <v>41.951508246952613</v>
      </c>
      <c r="S75" s="80">
        <f>'H2 Data'!$W$31</f>
        <v>40.974871438265346</v>
      </c>
      <c r="X75" s="54" t="s">
        <v>4743</v>
      </c>
      <c r="Y75" s="377">
        <v>2</v>
      </c>
      <c r="Z75" s="377">
        <v>1</v>
      </c>
      <c r="AA75" s="377">
        <v>1</v>
      </c>
      <c r="AB75" s="377">
        <v>3</v>
      </c>
      <c r="AC75" s="377">
        <v>1</v>
      </c>
    </row>
    <row r="76" spans="1:29" x14ac:dyDescent="0.25">
      <c r="A76" t="s">
        <v>4690</v>
      </c>
      <c r="B76" t="s">
        <v>95</v>
      </c>
      <c r="C76" t="s">
        <v>4742</v>
      </c>
      <c r="D76">
        <v>2023</v>
      </c>
      <c r="E76">
        <v>2021</v>
      </c>
      <c r="F76" s="259">
        <f t="shared" si="12"/>
        <v>1.1642034728406054</v>
      </c>
      <c r="G76" t="s">
        <v>1781</v>
      </c>
      <c r="H76">
        <v>2020</v>
      </c>
      <c r="I76" t="s">
        <v>1783</v>
      </c>
      <c r="J76" t="s">
        <v>2013</v>
      </c>
      <c r="K76" s="336">
        <v>2035</v>
      </c>
      <c r="N76" s="80"/>
      <c r="O76" s="80"/>
      <c r="P76" s="325"/>
      <c r="Q76" s="80">
        <f>'H2 Data'!$U$31</f>
        <v>42.749551522707037</v>
      </c>
      <c r="R76" s="80">
        <f>'H2 Data'!$V$31</f>
        <v>41.951508246952613</v>
      </c>
      <c r="S76" s="80">
        <f>'H2 Data'!$W$31</f>
        <v>40.974871438265346</v>
      </c>
      <c r="T76" s="80">
        <f>'H2 Data'!$X$31</f>
        <v>40.020970867104211</v>
      </c>
      <c r="X76" s="54" t="s">
        <v>4743</v>
      </c>
      <c r="Y76" s="377">
        <v>2</v>
      </c>
      <c r="Z76" s="377">
        <v>1</v>
      </c>
      <c r="AA76" s="377">
        <v>1</v>
      </c>
      <c r="AB76" s="377">
        <v>3</v>
      </c>
      <c r="AC76" s="377">
        <v>1</v>
      </c>
    </row>
    <row r="77" spans="1:29" x14ac:dyDescent="0.25">
      <c r="A77" t="s">
        <v>4690</v>
      </c>
      <c r="B77" t="s">
        <v>95</v>
      </c>
      <c r="C77" t="s">
        <v>4742</v>
      </c>
      <c r="D77">
        <v>2023</v>
      </c>
      <c r="E77">
        <v>2021</v>
      </c>
      <c r="F77" s="259">
        <f t="shared" si="12"/>
        <v>1.1642034728406054</v>
      </c>
      <c r="G77" t="s">
        <v>1781</v>
      </c>
      <c r="H77">
        <v>2020</v>
      </c>
      <c r="I77" t="s">
        <v>1783</v>
      </c>
      <c r="J77" t="s">
        <v>2013</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4743</v>
      </c>
      <c r="Y77" s="377">
        <v>2</v>
      </c>
      <c r="Z77" s="377">
        <v>1</v>
      </c>
      <c r="AA77" s="377">
        <v>1</v>
      </c>
      <c r="AB77" s="377">
        <v>3</v>
      </c>
      <c r="AC77" s="377">
        <v>1</v>
      </c>
    </row>
    <row r="78" spans="1:29" x14ac:dyDescent="0.25">
      <c r="A78" t="s">
        <v>4690</v>
      </c>
      <c r="B78" t="s">
        <v>95</v>
      </c>
      <c r="C78" t="s">
        <v>4742</v>
      </c>
      <c r="D78">
        <v>2023</v>
      </c>
      <c r="E78">
        <v>2021</v>
      </c>
      <c r="F78" s="259">
        <f t="shared" si="12"/>
        <v>1.1642034728406054</v>
      </c>
      <c r="G78" t="s">
        <v>1781</v>
      </c>
      <c r="H78">
        <v>2020</v>
      </c>
      <c r="I78" t="s">
        <v>1783</v>
      </c>
      <c r="J78" t="s">
        <v>2013</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4743</v>
      </c>
      <c r="Y78" s="377">
        <v>2</v>
      </c>
      <c r="Z78" s="377">
        <v>1</v>
      </c>
      <c r="AA78" s="377">
        <v>1</v>
      </c>
      <c r="AB78" s="377">
        <v>3</v>
      </c>
      <c r="AC78" s="377">
        <v>1</v>
      </c>
    </row>
    <row r="79" spans="1:29" x14ac:dyDescent="0.25">
      <c r="A79" t="s">
        <v>4690</v>
      </c>
      <c r="B79" t="s">
        <v>95</v>
      </c>
      <c r="C79" t="s">
        <v>4742</v>
      </c>
      <c r="D79">
        <v>2023</v>
      </c>
      <c r="E79">
        <v>2021</v>
      </c>
      <c r="F79" s="259">
        <f t="shared" si="12"/>
        <v>1.1642034728406054</v>
      </c>
      <c r="G79" t="s">
        <v>1781</v>
      </c>
      <c r="H79">
        <v>2020</v>
      </c>
      <c r="I79" t="s">
        <v>1783</v>
      </c>
      <c r="J79" t="s">
        <v>2013</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4743</v>
      </c>
      <c r="Y79" s="377">
        <v>2</v>
      </c>
      <c r="Z79" s="377">
        <v>1</v>
      </c>
      <c r="AA79" s="377">
        <v>1</v>
      </c>
      <c r="AB79" s="377">
        <v>3</v>
      </c>
      <c r="AC79" s="377">
        <v>1</v>
      </c>
    </row>
    <row r="80" spans="1:29" x14ac:dyDescent="0.25">
      <c r="A80" t="s">
        <v>2884</v>
      </c>
      <c r="B80" t="s">
        <v>95</v>
      </c>
      <c r="C80" t="s">
        <v>4742</v>
      </c>
      <c r="D80">
        <v>2023</v>
      </c>
      <c r="E80">
        <v>2021</v>
      </c>
      <c r="F80" s="259">
        <f t="shared" si="12"/>
        <v>1.1642034728406054</v>
      </c>
      <c r="G80" t="s">
        <v>1781</v>
      </c>
      <c r="H80">
        <v>2020</v>
      </c>
      <c r="I80" t="s">
        <v>1783</v>
      </c>
      <c r="J80" t="s">
        <v>2013</v>
      </c>
      <c r="K80" s="336">
        <v>2021</v>
      </c>
      <c r="O80" s="80"/>
      <c r="P80" s="325"/>
      <c r="Q80" s="80">
        <f>'H2 Data'!$U$25</f>
        <v>30.066486048886908</v>
      </c>
      <c r="X80" s="54" t="s">
        <v>4743</v>
      </c>
      <c r="Y80" s="377">
        <v>2</v>
      </c>
      <c r="Z80" s="377">
        <v>1</v>
      </c>
      <c r="AA80" s="377">
        <v>1</v>
      </c>
      <c r="AB80" s="377">
        <v>3</v>
      </c>
      <c r="AC80" s="377">
        <v>1</v>
      </c>
    </row>
    <row r="81" spans="1:29" x14ac:dyDescent="0.25">
      <c r="A81" t="s">
        <v>2884</v>
      </c>
      <c r="B81" t="s">
        <v>95</v>
      </c>
      <c r="C81" t="s">
        <v>4742</v>
      </c>
      <c r="D81">
        <v>2023</v>
      </c>
      <c r="E81">
        <v>2021</v>
      </c>
      <c r="F81" s="259">
        <f t="shared" si="12"/>
        <v>1.1642034728406054</v>
      </c>
      <c r="G81" t="s">
        <v>1781</v>
      </c>
      <c r="H81">
        <v>2020</v>
      </c>
      <c r="I81" t="s">
        <v>1783</v>
      </c>
      <c r="J81" t="s">
        <v>2013</v>
      </c>
      <c r="K81" s="336">
        <v>2025</v>
      </c>
      <c r="P81" s="325"/>
      <c r="Q81" s="80">
        <f>'H2 Data'!$U$25</f>
        <v>30.066486048886908</v>
      </c>
      <c r="R81" s="80">
        <f>'H2 Data'!$V$25</f>
        <v>29.268766219170306</v>
      </c>
      <c r="X81" s="54" t="s">
        <v>4743</v>
      </c>
      <c r="Y81" s="377">
        <v>2</v>
      </c>
      <c r="Z81" s="377">
        <v>1</v>
      </c>
      <c r="AA81" s="377">
        <v>1</v>
      </c>
      <c r="AB81" s="377">
        <v>3</v>
      </c>
      <c r="AC81" s="377">
        <v>1</v>
      </c>
    </row>
    <row r="82" spans="1:29" x14ac:dyDescent="0.25">
      <c r="A82" t="s">
        <v>2884</v>
      </c>
      <c r="B82" t="s">
        <v>95</v>
      </c>
      <c r="C82" t="s">
        <v>4742</v>
      </c>
      <c r="D82">
        <v>2023</v>
      </c>
      <c r="E82">
        <v>2021</v>
      </c>
      <c r="F82" s="259">
        <f t="shared" si="12"/>
        <v>1.1642034728406054</v>
      </c>
      <c r="G82" t="s">
        <v>1781</v>
      </c>
      <c r="H82">
        <v>2020</v>
      </c>
      <c r="I82" t="s">
        <v>1783</v>
      </c>
      <c r="J82" t="s">
        <v>2013</v>
      </c>
      <c r="K82" s="336">
        <v>2030</v>
      </c>
      <c r="M82" s="80"/>
      <c r="N82" s="80"/>
      <c r="O82" s="80"/>
      <c r="P82" s="325"/>
      <c r="Q82" s="80">
        <f>'H2 Data'!$U$25</f>
        <v>30.066486048886908</v>
      </c>
      <c r="R82" s="80">
        <f>'H2 Data'!$V$25</f>
        <v>29.268766219170306</v>
      </c>
      <c r="S82" s="80">
        <f>'H2 Data'!$W$25</f>
        <v>28.301313564868597</v>
      </c>
      <c r="X82" s="54" t="s">
        <v>4743</v>
      </c>
      <c r="Y82" s="377">
        <v>2</v>
      </c>
      <c r="Z82" s="377">
        <v>1</v>
      </c>
      <c r="AA82" s="377">
        <v>1</v>
      </c>
      <c r="AB82" s="377">
        <v>3</v>
      </c>
      <c r="AC82" s="377">
        <v>1</v>
      </c>
    </row>
    <row r="83" spans="1:29" x14ac:dyDescent="0.25">
      <c r="A83" t="s">
        <v>2884</v>
      </c>
      <c r="B83" t="s">
        <v>95</v>
      </c>
      <c r="C83" t="s">
        <v>4742</v>
      </c>
      <c r="D83">
        <v>2023</v>
      </c>
      <c r="E83">
        <v>2021</v>
      </c>
      <c r="F83" s="259">
        <f t="shared" si="12"/>
        <v>1.1642034728406054</v>
      </c>
      <c r="G83" t="s">
        <v>1781</v>
      </c>
      <c r="H83">
        <v>2020</v>
      </c>
      <c r="I83" t="s">
        <v>1783</v>
      </c>
      <c r="J83" t="s">
        <v>2013</v>
      </c>
      <c r="K83" s="336">
        <v>2035</v>
      </c>
      <c r="N83" s="80"/>
      <c r="O83" s="80"/>
      <c r="P83" s="325"/>
      <c r="Q83" s="80">
        <f>'H2 Data'!$U$25</f>
        <v>30.066486048886908</v>
      </c>
      <c r="R83" s="80">
        <f>'H2 Data'!$V$25</f>
        <v>29.268766219170306</v>
      </c>
      <c r="S83" s="80">
        <f>'H2 Data'!$W$25</f>
        <v>28.301313564868597</v>
      </c>
      <c r="T83" s="80">
        <f>'H2 Data'!$X$25</f>
        <v>27.365839184994538</v>
      </c>
      <c r="X83" s="54" t="s">
        <v>4743</v>
      </c>
      <c r="Y83" s="377">
        <v>2</v>
      </c>
      <c r="Z83" s="377">
        <v>1</v>
      </c>
      <c r="AA83" s="377">
        <v>1</v>
      </c>
      <c r="AB83" s="377">
        <v>3</v>
      </c>
      <c r="AC83" s="377">
        <v>1</v>
      </c>
    </row>
    <row r="84" spans="1:29" x14ac:dyDescent="0.25">
      <c r="A84" t="s">
        <v>2884</v>
      </c>
      <c r="B84" t="s">
        <v>95</v>
      </c>
      <c r="C84" t="s">
        <v>4742</v>
      </c>
      <c r="D84">
        <v>2023</v>
      </c>
      <c r="E84">
        <v>2021</v>
      </c>
      <c r="F84" s="259">
        <f t="shared" si="12"/>
        <v>1.1642034728406054</v>
      </c>
      <c r="G84" t="s">
        <v>1781</v>
      </c>
      <c r="H84">
        <v>2020</v>
      </c>
      <c r="I84" t="s">
        <v>1783</v>
      </c>
      <c r="J84" t="s">
        <v>2013</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4743</v>
      </c>
      <c r="Y84" s="377">
        <v>2</v>
      </c>
      <c r="Z84" s="377">
        <v>1</v>
      </c>
      <c r="AA84" s="377">
        <v>1</v>
      </c>
      <c r="AB84" s="377">
        <v>3</v>
      </c>
      <c r="AC84" s="377">
        <v>1</v>
      </c>
    </row>
    <row r="85" spans="1:29" x14ac:dyDescent="0.25">
      <c r="A85" t="s">
        <v>2884</v>
      </c>
      <c r="B85" t="s">
        <v>95</v>
      </c>
      <c r="C85" t="s">
        <v>4742</v>
      </c>
      <c r="D85">
        <v>2023</v>
      </c>
      <c r="E85">
        <v>2021</v>
      </c>
      <c r="F85" s="259">
        <f t="shared" si="12"/>
        <v>1.1642034728406054</v>
      </c>
      <c r="G85" t="s">
        <v>1781</v>
      </c>
      <c r="H85">
        <v>2020</v>
      </c>
      <c r="I85" t="s">
        <v>1783</v>
      </c>
      <c r="J85" t="s">
        <v>2013</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4743</v>
      </c>
      <c r="Y85" s="377">
        <v>2</v>
      </c>
      <c r="Z85" s="377">
        <v>1</v>
      </c>
      <c r="AA85" s="377">
        <v>1</v>
      </c>
      <c r="AB85" s="377">
        <v>3</v>
      </c>
      <c r="AC85" s="377">
        <v>1</v>
      </c>
    </row>
    <row r="86" spans="1:29" x14ac:dyDescent="0.25">
      <c r="A86" t="s">
        <v>2884</v>
      </c>
      <c r="B86" t="s">
        <v>95</v>
      </c>
      <c r="C86" t="s">
        <v>4742</v>
      </c>
      <c r="D86">
        <v>2023</v>
      </c>
      <c r="E86">
        <v>2021</v>
      </c>
      <c r="F86" s="259">
        <f t="shared" si="12"/>
        <v>1.1642034728406054</v>
      </c>
      <c r="G86" t="s">
        <v>1781</v>
      </c>
      <c r="H86">
        <v>2020</v>
      </c>
      <c r="I86" t="s">
        <v>1783</v>
      </c>
      <c r="J86" t="s">
        <v>2013</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4743</v>
      </c>
      <c r="Y86" s="377">
        <v>2</v>
      </c>
      <c r="Z86" s="377">
        <v>1</v>
      </c>
      <c r="AA86" s="377">
        <v>1</v>
      </c>
      <c r="AB86" s="377">
        <v>3</v>
      </c>
      <c r="AC86" s="377">
        <v>1</v>
      </c>
    </row>
    <row r="87" spans="1:29" x14ac:dyDescent="0.25">
      <c r="A87" t="s">
        <v>4693</v>
      </c>
      <c r="B87" t="s">
        <v>95</v>
      </c>
      <c r="C87" t="s">
        <v>4742</v>
      </c>
      <c r="D87">
        <v>2023</v>
      </c>
      <c r="E87">
        <v>2021</v>
      </c>
      <c r="F87" s="259">
        <f t="shared" si="12"/>
        <v>1.1642034728406054</v>
      </c>
      <c r="G87" t="s">
        <v>1781</v>
      </c>
      <c r="H87">
        <v>2020</v>
      </c>
      <c r="I87" t="s">
        <v>1783</v>
      </c>
      <c r="J87" t="s">
        <v>2013</v>
      </c>
      <c r="K87" s="336">
        <v>2021</v>
      </c>
      <c r="O87" s="80"/>
      <c r="P87" s="325"/>
      <c r="Q87" s="80">
        <f>'H2 Data'!$U$26</f>
        <v>49.865512409750657</v>
      </c>
      <c r="X87" s="54" t="s">
        <v>4743</v>
      </c>
      <c r="Y87" s="377">
        <v>2</v>
      </c>
      <c r="Z87" s="377">
        <v>1</v>
      </c>
      <c r="AA87" s="377">
        <v>1</v>
      </c>
      <c r="AB87" s="377">
        <v>3</v>
      </c>
      <c r="AC87" s="377">
        <v>1</v>
      </c>
    </row>
    <row r="88" spans="1:29" x14ac:dyDescent="0.25">
      <c r="A88" t="s">
        <v>4693</v>
      </c>
      <c r="B88" t="s">
        <v>95</v>
      </c>
      <c r="C88" t="s">
        <v>4742</v>
      </c>
      <c r="D88">
        <v>2023</v>
      </c>
      <c r="E88">
        <v>2021</v>
      </c>
      <c r="F88" s="259">
        <f t="shared" si="12"/>
        <v>1.1642034728406054</v>
      </c>
      <c r="G88" t="s">
        <v>1781</v>
      </c>
      <c r="H88">
        <v>2020</v>
      </c>
      <c r="I88" t="s">
        <v>1783</v>
      </c>
      <c r="J88" t="s">
        <v>2013</v>
      </c>
      <c r="K88" s="336">
        <v>2025</v>
      </c>
      <c r="P88" s="325"/>
      <c r="Q88" s="80">
        <f>'H2 Data'!$U$26</f>
        <v>49.865512409750657</v>
      </c>
      <c r="R88" s="80">
        <f>'H2 Data'!$V$26</f>
        <v>49.092149322467833</v>
      </c>
      <c r="X88" s="54" t="s">
        <v>4743</v>
      </c>
      <c r="Y88" s="377">
        <v>2</v>
      </c>
      <c r="Z88" s="377">
        <v>1</v>
      </c>
      <c r="AA88" s="377">
        <v>1</v>
      </c>
      <c r="AB88" s="377">
        <v>3</v>
      </c>
      <c r="AC88" s="377">
        <v>1</v>
      </c>
    </row>
    <row r="89" spans="1:29" x14ac:dyDescent="0.25">
      <c r="A89" t="s">
        <v>4693</v>
      </c>
      <c r="B89" t="s">
        <v>95</v>
      </c>
      <c r="C89" t="s">
        <v>4742</v>
      </c>
      <c r="D89">
        <v>2023</v>
      </c>
      <c r="E89">
        <v>2021</v>
      </c>
      <c r="F89" s="259">
        <f t="shared" si="12"/>
        <v>1.1642034728406054</v>
      </c>
      <c r="G89" t="s">
        <v>1781</v>
      </c>
      <c r="H89">
        <v>2020</v>
      </c>
      <c r="I89" t="s">
        <v>1783</v>
      </c>
      <c r="J89" t="s">
        <v>2013</v>
      </c>
      <c r="K89" s="336">
        <v>2030</v>
      </c>
      <c r="M89" s="80"/>
      <c r="N89" s="80"/>
      <c r="O89" s="80"/>
      <c r="P89" s="325"/>
      <c r="Q89" s="80">
        <f>'H2 Data'!$U$26</f>
        <v>49.865512409750657</v>
      </c>
      <c r="R89" s="80">
        <f>'H2 Data'!$V$26</f>
        <v>49.092149322467833</v>
      </c>
      <c r="S89" s="80">
        <f>'H2 Data'!$W$26</f>
        <v>48.142290262361207</v>
      </c>
      <c r="X89" s="54" t="s">
        <v>4743</v>
      </c>
      <c r="Y89" s="377">
        <v>2</v>
      </c>
      <c r="Z89" s="377">
        <v>1</v>
      </c>
      <c r="AA89" s="377">
        <v>1</v>
      </c>
      <c r="AB89" s="377">
        <v>3</v>
      </c>
      <c r="AC89" s="377">
        <v>1</v>
      </c>
    </row>
    <row r="90" spans="1:29" x14ac:dyDescent="0.25">
      <c r="A90" t="s">
        <v>4693</v>
      </c>
      <c r="B90" t="s">
        <v>95</v>
      </c>
      <c r="C90" t="s">
        <v>4742</v>
      </c>
      <c r="D90">
        <v>2023</v>
      </c>
      <c r="E90">
        <v>2021</v>
      </c>
      <c r="F90" s="259">
        <f t="shared" si="12"/>
        <v>1.1642034728406054</v>
      </c>
      <c r="G90" t="s">
        <v>1781</v>
      </c>
      <c r="H90">
        <v>2020</v>
      </c>
      <c r="I90" t="s">
        <v>1783</v>
      </c>
      <c r="J90" t="s">
        <v>2013</v>
      </c>
      <c r="K90" s="336">
        <v>2035</v>
      </c>
      <c r="N90" s="80"/>
      <c r="O90" s="80"/>
      <c r="P90" s="325"/>
      <c r="Q90" s="80">
        <f>'H2 Data'!$U$26</f>
        <v>49.865512409750657</v>
      </c>
      <c r="R90" s="80">
        <f>'H2 Data'!$V$26</f>
        <v>49.092149322467833</v>
      </c>
      <c r="S90" s="80">
        <f>'H2 Data'!$W$26</f>
        <v>48.142290262361207</v>
      </c>
      <c r="T90" s="80">
        <f>'H2 Data'!$X$26</f>
        <v>47.210809542712646</v>
      </c>
      <c r="X90" s="54" t="s">
        <v>4743</v>
      </c>
      <c r="Y90" s="377">
        <v>2</v>
      </c>
      <c r="Z90" s="377">
        <v>1</v>
      </c>
      <c r="AA90" s="377">
        <v>1</v>
      </c>
      <c r="AB90" s="377">
        <v>3</v>
      </c>
      <c r="AC90" s="377">
        <v>1</v>
      </c>
    </row>
    <row r="91" spans="1:29" x14ac:dyDescent="0.25">
      <c r="A91" t="s">
        <v>4693</v>
      </c>
      <c r="B91" t="s">
        <v>95</v>
      </c>
      <c r="C91" t="s">
        <v>4742</v>
      </c>
      <c r="D91">
        <v>2023</v>
      </c>
      <c r="E91">
        <v>2021</v>
      </c>
      <c r="F91" s="259">
        <f t="shared" si="12"/>
        <v>1.1642034728406054</v>
      </c>
      <c r="G91" t="s">
        <v>1781</v>
      </c>
      <c r="H91">
        <v>2020</v>
      </c>
      <c r="I91" t="s">
        <v>1783</v>
      </c>
      <c r="J91" t="s">
        <v>2013</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4743</v>
      </c>
      <c r="Y91" s="377">
        <v>2</v>
      </c>
      <c r="Z91" s="377">
        <v>1</v>
      </c>
      <c r="AA91" s="377">
        <v>1</v>
      </c>
      <c r="AB91" s="377">
        <v>3</v>
      </c>
      <c r="AC91" s="377">
        <v>1</v>
      </c>
    </row>
    <row r="92" spans="1:29" x14ac:dyDescent="0.25">
      <c r="A92" t="s">
        <v>4693</v>
      </c>
      <c r="B92" t="s">
        <v>95</v>
      </c>
      <c r="C92" t="s">
        <v>4742</v>
      </c>
      <c r="D92">
        <v>2023</v>
      </c>
      <c r="E92">
        <v>2021</v>
      </c>
      <c r="F92" s="259">
        <f t="shared" si="12"/>
        <v>1.1642034728406054</v>
      </c>
      <c r="G92" t="s">
        <v>1781</v>
      </c>
      <c r="H92">
        <v>2020</v>
      </c>
      <c r="I92" t="s">
        <v>1783</v>
      </c>
      <c r="J92" t="s">
        <v>2013</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4743</v>
      </c>
      <c r="Y92" s="377">
        <v>2</v>
      </c>
      <c r="Z92" s="377">
        <v>1</v>
      </c>
      <c r="AA92" s="377">
        <v>1</v>
      </c>
      <c r="AB92" s="377">
        <v>3</v>
      </c>
      <c r="AC92" s="377">
        <v>1</v>
      </c>
    </row>
    <row r="93" spans="1:29" x14ac:dyDescent="0.25">
      <c r="A93" t="s">
        <v>4693</v>
      </c>
      <c r="B93" t="s">
        <v>95</v>
      </c>
      <c r="C93" t="s">
        <v>4742</v>
      </c>
      <c r="D93">
        <v>2023</v>
      </c>
      <c r="E93">
        <v>2021</v>
      </c>
      <c r="F93" s="259">
        <f t="shared" si="12"/>
        <v>1.1642034728406054</v>
      </c>
      <c r="G93" t="s">
        <v>1781</v>
      </c>
      <c r="H93">
        <v>2020</v>
      </c>
      <c r="I93" t="s">
        <v>1783</v>
      </c>
      <c r="J93" t="s">
        <v>2013</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4743</v>
      </c>
      <c r="Y93" s="377">
        <v>2</v>
      </c>
      <c r="Z93" s="377">
        <v>1</v>
      </c>
      <c r="AA93" s="377">
        <v>1</v>
      </c>
      <c r="AB93" s="377">
        <v>3</v>
      </c>
      <c r="AC93" s="377">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Z54" zoomScaleNormal="100" workbookViewId="0">
      <selection activeCell="AK97" sqref="AK9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7"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59" t="s">
        <v>1539</v>
      </c>
      <c r="M1" s="1059"/>
      <c r="N1" s="1059"/>
      <c r="O1" s="1059"/>
      <c r="P1" s="1060"/>
      <c r="Q1" s="1058" t="s">
        <v>1003</v>
      </c>
      <c r="R1" s="1059"/>
      <c r="S1" s="1059"/>
      <c r="T1" s="1059"/>
      <c r="U1" s="1059"/>
      <c r="V1" s="1059"/>
      <c r="W1" s="1060"/>
      <c r="Y1" s="1038" t="s">
        <v>147</v>
      </c>
      <c r="Z1" s="1039"/>
      <c r="AA1" s="1039"/>
      <c r="AB1" s="1039"/>
      <c r="AC1" s="1039"/>
      <c r="AD1" s="1044" t="s">
        <v>2640</v>
      </c>
      <c r="AF1" s="1044" t="s">
        <v>2641</v>
      </c>
      <c r="AG1" s="1037" t="s">
        <v>2144</v>
      </c>
      <c r="AH1" s="1037"/>
      <c r="AI1" s="1037"/>
      <c r="AJ1" s="1037"/>
      <c r="AK1" s="1037"/>
      <c r="AL1" s="1037"/>
      <c r="AM1" s="1037"/>
      <c r="AN1" s="1037"/>
      <c r="AO1" s="1037"/>
      <c r="AR1" s="260" t="s">
        <v>2146</v>
      </c>
      <c r="AS1" s="260"/>
      <c r="AT1" s="260"/>
      <c r="AU1" s="260"/>
      <c r="AV1" s="260"/>
      <c r="AW1" s="260"/>
      <c r="AX1" s="260"/>
      <c r="AY1" s="260"/>
      <c r="AZ1" s="260"/>
      <c r="BA1" s="260"/>
      <c r="BB1" s="260"/>
      <c r="BC1" s="260"/>
      <c r="BD1" s="260"/>
      <c r="BE1" s="260"/>
      <c r="BF1" s="260"/>
      <c r="BH1" s="159" t="s">
        <v>2147</v>
      </c>
      <c r="BI1" s="159"/>
      <c r="BJ1" s="159"/>
    </row>
    <row r="2" spans="1:68"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4"/>
      <c r="AE2" s="735"/>
      <c r="AF2" s="1044"/>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4432</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7">
        <v>3</v>
      </c>
      <c r="Z3" s="377">
        <v>1</v>
      </c>
      <c r="AA3" s="377">
        <v>1</v>
      </c>
      <c r="AB3" s="377">
        <v>3</v>
      </c>
      <c r="AC3" s="377">
        <v>1</v>
      </c>
      <c r="AD3" s="1044"/>
      <c r="AF3" s="1044"/>
      <c r="AG3">
        <v>0</v>
      </c>
      <c r="AH3" s="13">
        <v>15922</v>
      </c>
      <c r="AI3" s="13">
        <v>16234</v>
      </c>
      <c r="AJ3" s="13">
        <v>18964</v>
      </c>
      <c r="AK3" s="13">
        <v>13843</v>
      </c>
      <c r="AL3" s="13">
        <v>15962</v>
      </c>
      <c r="AM3" s="13">
        <v>17071</v>
      </c>
      <c r="AN3" s="13">
        <v>17276</v>
      </c>
      <c r="AO3" s="13">
        <v>18872</v>
      </c>
      <c r="AR3" s="28" t="s">
        <v>1515</v>
      </c>
      <c r="BH3" s="28" t="s">
        <v>1529</v>
      </c>
    </row>
    <row r="4" spans="1:68" x14ac:dyDescent="0.25">
      <c r="A4" t="s">
        <v>4432</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7">
        <v>3</v>
      </c>
      <c r="Z4" s="377">
        <v>1</v>
      </c>
      <c r="AA4" s="377">
        <v>1</v>
      </c>
      <c r="AB4" s="377">
        <v>3</v>
      </c>
      <c r="AC4" s="377">
        <v>1</v>
      </c>
      <c r="AD4" s="1044"/>
      <c r="AF4" s="1044"/>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4432</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7">
        <v>3</v>
      </c>
      <c r="Z5" s="377">
        <v>1</v>
      </c>
      <c r="AA5" s="377">
        <v>1</v>
      </c>
      <c r="AB5" s="377">
        <v>3</v>
      </c>
      <c r="AC5" s="377">
        <v>1</v>
      </c>
      <c r="AD5" s="1044"/>
      <c r="AF5" s="1044"/>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4433</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7">
        <v>3</v>
      </c>
      <c r="Z6" s="377">
        <v>1</v>
      </c>
      <c r="AA6" s="377">
        <v>1</v>
      </c>
      <c r="AB6" s="377">
        <v>3</v>
      </c>
      <c r="AC6" s="377">
        <v>1</v>
      </c>
      <c r="AD6" s="1044"/>
      <c r="AF6" s="1044"/>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4433</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7">
        <v>3</v>
      </c>
      <c r="Z7" s="377">
        <v>1</v>
      </c>
      <c r="AA7" s="377">
        <v>1</v>
      </c>
      <c r="AB7" s="377">
        <v>3</v>
      </c>
      <c r="AC7" s="377">
        <v>1</v>
      </c>
      <c r="AD7" s="1044"/>
      <c r="AF7" s="1044"/>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4433</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7">
        <v>3</v>
      </c>
      <c r="Z8" s="377">
        <v>1</v>
      </c>
      <c r="AA8" s="377">
        <v>1</v>
      </c>
      <c r="AB8" s="377">
        <v>3</v>
      </c>
      <c r="AC8" s="377">
        <v>1</v>
      </c>
      <c r="AD8" s="1044"/>
      <c r="AF8" s="1044"/>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4434</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7">
        <v>3</v>
      </c>
      <c r="Z9" s="377">
        <v>1</v>
      </c>
      <c r="AA9" s="377">
        <v>1</v>
      </c>
      <c r="AB9" s="377">
        <v>3</v>
      </c>
      <c r="AC9" s="377">
        <v>1</v>
      </c>
      <c r="AD9" s="1044"/>
      <c r="AF9" s="1044"/>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4434</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7">
        <v>3</v>
      </c>
      <c r="Z10" s="377">
        <v>1</v>
      </c>
      <c r="AA10" s="377">
        <v>1</v>
      </c>
      <c r="AB10" s="377">
        <v>3</v>
      </c>
      <c r="AC10" s="377">
        <v>1</v>
      </c>
      <c r="AD10" s="1044"/>
      <c r="AF10" s="1044"/>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4434</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7">
        <v>3</v>
      </c>
      <c r="Z11" s="377">
        <v>1</v>
      </c>
      <c r="AA11" s="377">
        <v>1</v>
      </c>
      <c r="AB11" s="377">
        <v>3</v>
      </c>
      <c r="AC11" s="377">
        <v>1</v>
      </c>
      <c r="AD11" s="1044"/>
      <c r="AF11" s="1044"/>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4435</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7">
        <v>3</v>
      </c>
      <c r="Z12" s="377">
        <v>1</v>
      </c>
      <c r="AA12" s="377">
        <v>1</v>
      </c>
      <c r="AB12" s="377">
        <v>3</v>
      </c>
      <c r="AC12" s="377">
        <v>1</v>
      </c>
      <c r="AD12" s="1044"/>
      <c r="AF12" s="1044"/>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4435</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7">
        <v>3</v>
      </c>
      <c r="Z13" s="377">
        <v>1</v>
      </c>
      <c r="AA13" s="377">
        <v>1</v>
      </c>
      <c r="AB13" s="377">
        <v>3</v>
      </c>
      <c r="AC13" s="377">
        <v>1</v>
      </c>
      <c r="AD13" s="1044"/>
      <c r="AF13" s="1044"/>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4435</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7">
        <v>3</v>
      </c>
      <c r="Z14" s="377">
        <v>1</v>
      </c>
      <c r="AA14" s="377">
        <v>1</v>
      </c>
      <c r="AB14" s="377">
        <v>3</v>
      </c>
      <c r="AC14" s="377">
        <v>1</v>
      </c>
      <c r="AD14" s="1044"/>
      <c r="AF14" s="1044"/>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4436</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7">
        <v>3</v>
      </c>
      <c r="Z15" s="377">
        <v>1</v>
      </c>
      <c r="AA15" s="377">
        <v>1</v>
      </c>
      <c r="AB15" s="377">
        <v>3</v>
      </c>
      <c r="AC15" s="377">
        <v>1</v>
      </c>
      <c r="AD15" s="1044"/>
      <c r="AF15" s="1044"/>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4436</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7">
        <v>3</v>
      </c>
      <c r="Z16" s="377">
        <v>1</v>
      </c>
      <c r="AA16" s="377">
        <v>1</v>
      </c>
      <c r="AB16" s="377">
        <v>3</v>
      </c>
      <c r="AC16" s="377">
        <v>1</v>
      </c>
      <c r="AD16" s="1044"/>
      <c r="AF16" s="1044"/>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4436</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7">
        <v>3</v>
      </c>
      <c r="Z17" s="377">
        <v>1</v>
      </c>
      <c r="AA17" s="377">
        <v>1</v>
      </c>
      <c r="AB17" s="377">
        <v>3</v>
      </c>
      <c r="AC17" s="377">
        <v>1</v>
      </c>
      <c r="AD17" s="1044"/>
      <c r="AF17" s="1044"/>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4437</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7">
        <v>3</v>
      </c>
      <c r="Z18" s="377">
        <v>1</v>
      </c>
      <c r="AA18" s="377">
        <v>1</v>
      </c>
      <c r="AB18" s="377">
        <v>3</v>
      </c>
      <c r="AC18" s="377">
        <v>1</v>
      </c>
      <c r="AD18" s="1044"/>
      <c r="AF18" s="1044"/>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4437</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7">
        <v>3</v>
      </c>
      <c r="Z19" s="377">
        <v>1</v>
      </c>
      <c r="AA19" s="377">
        <v>1</v>
      </c>
      <c r="AB19" s="377">
        <v>3</v>
      </c>
      <c r="AC19" s="377">
        <v>1</v>
      </c>
      <c r="AD19" s="1044"/>
      <c r="AF19" s="1044"/>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4437</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7">
        <v>3</v>
      </c>
      <c r="Z20" s="377">
        <v>1</v>
      </c>
      <c r="AA20" s="377">
        <v>1</v>
      </c>
      <c r="AB20" s="377">
        <v>3</v>
      </c>
      <c r="AC20" s="377">
        <v>1</v>
      </c>
      <c r="AD20" s="1044"/>
      <c r="AF20" s="1044"/>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4437</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7">
        <v>3</v>
      </c>
      <c r="Z21" s="377">
        <v>1</v>
      </c>
      <c r="AA21" s="377">
        <v>1</v>
      </c>
      <c r="AB21" s="377">
        <v>3</v>
      </c>
      <c r="AC21" s="377">
        <v>1</v>
      </c>
      <c r="AD21" s="1044"/>
      <c r="AF21" s="1044"/>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4438</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7">
        <v>3</v>
      </c>
      <c r="Z22" s="377">
        <v>1</v>
      </c>
      <c r="AA22" s="377">
        <v>1</v>
      </c>
      <c r="AB22" s="377">
        <v>3</v>
      </c>
      <c r="AC22" s="377">
        <v>1</v>
      </c>
      <c r="AD22" s="1044"/>
      <c r="AF22" s="1044"/>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4438</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7">
        <v>3</v>
      </c>
      <c r="Z23" s="377">
        <v>1</v>
      </c>
      <c r="AA23" s="377">
        <v>1</v>
      </c>
      <c r="AB23" s="377">
        <v>3</v>
      </c>
      <c r="AC23" s="377">
        <v>1</v>
      </c>
      <c r="AD23" s="1044"/>
      <c r="AF23" s="1044"/>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4438</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7">
        <v>3</v>
      </c>
      <c r="Z24" s="377">
        <v>1</v>
      </c>
      <c r="AA24" s="377">
        <v>1</v>
      </c>
      <c r="AB24" s="377">
        <v>3</v>
      </c>
      <c r="AC24" s="377">
        <v>1</v>
      </c>
      <c r="AD24" s="1044"/>
      <c r="AF24" s="1044"/>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4438</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7">
        <v>3</v>
      </c>
      <c r="Z25" s="377">
        <v>1</v>
      </c>
      <c r="AA25" s="377">
        <v>1</v>
      </c>
      <c r="AB25" s="377">
        <v>3</v>
      </c>
      <c r="AC25" s="377">
        <v>1</v>
      </c>
      <c r="AD25" s="1044"/>
      <c r="AF25" s="1044"/>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4439</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7">
        <v>3</v>
      </c>
      <c r="Z26" s="377">
        <v>1</v>
      </c>
      <c r="AA26" s="377">
        <v>1</v>
      </c>
      <c r="AB26" s="377">
        <v>3</v>
      </c>
      <c r="AC26" s="377">
        <v>1</v>
      </c>
      <c r="AD26" s="1044"/>
      <c r="AF26" s="1044"/>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4439</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7">
        <v>3</v>
      </c>
      <c r="Z27" s="377">
        <v>1</v>
      </c>
      <c r="AA27" s="377">
        <v>1</v>
      </c>
      <c r="AB27" s="377">
        <v>3</v>
      </c>
      <c r="AC27" s="377">
        <v>1</v>
      </c>
      <c r="AD27" s="1044"/>
      <c r="AF27" s="1044"/>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4439</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7">
        <v>3</v>
      </c>
      <c r="Z28" s="377">
        <v>1</v>
      </c>
      <c r="AA28" s="377">
        <v>1</v>
      </c>
      <c r="AB28" s="377">
        <v>3</v>
      </c>
      <c r="AC28" s="377">
        <v>1</v>
      </c>
      <c r="AD28" s="1044"/>
      <c r="AF28" s="1044"/>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4439</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7">
        <v>3</v>
      </c>
      <c r="Z29" s="377">
        <v>1</v>
      </c>
      <c r="AA29" s="377">
        <v>1</v>
      </c>
      <c r="AB29" s="377">
        <v>3</v>
      </c>
      <c r="AC29" s="377">
        <v>1</v>
      </c>
      <c r="AD29" s="1044"/>
      <c r="AF29" s="1044"/>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4440</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7">
        <v>3</v>
      </c>
      <c r="Z30" s="377">
        <v>1</v>
      </c>
      <c r="AA30" s="377">
        <v>1</v>
      </c>
      <c r="AB30" s="377">
        <v>3</v>
      </c>
      <c r="AC30" s="377">
        <v>1</v>
      </c>
      <c r="AD30" s="1044"/>
      <c r="AF30" s="1044"/>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4440</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7">
        <v>3</v>
      </c>
      <c r="Z31" s="377">
        <v>1</v>
      </c>
      <c r="AA31" s="377">
        <v>1</v>
      </c>
      <c r="AB31" s="377">
        <v>3</v>
      </c>
      <c r="AC31" s="377">
        <v>1</v>
      </c>
      <c r="AD31" s="1044"/>
      <c r="AF31" s="1044"/>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4440</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7">
        <v>3</v>
      </c>
      <c r="Z32" s="377">
        <v>1</v>
      </c>
      <c r="AA32" s="377">
        <v>1</v>
      </c>
      <c r="AB32" s="377">
        <v>3</v>
      </c>
      <c r="AC32" s="377">
        <v>1</v>
      </c>
      <c r="AD32" s="1044"/>
      <c r="AF32" s="1044"/>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4440</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7">
        <v>3</v>
      </c>
      <c r="Z33" s="377">
        <v>1</v>
      </c>
      <c r="AA33" s="377">
        <v>1</v>
      </c>
      <c r="AB33" s="377">
        <v>3</v>
      </c>
      <c r="AC33" s="377">
        <v>1</v>
      </c>
      <c r="AD33" s="1044"/>
      <c r="AF33" s="1044"/>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4441</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7">
        <v>3</v>
      </c>
      <c r="Z34" s="377">
        <v>1</v>
      </c>
      <c r="AA34" s="377">
        <v>1</v>
      </c>
      <c r="AB34" s="377">
        <v>3</v>
      </c>
      <c r="AC34" s="377">
        <v>1</v>
      </c>
      <c r="AD34" s="1044"/>
      <c r="AF34" s="1044"/>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4441</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7">
        <v>3</v>
      </c>
      <c r="Z35" s="377">
        <v>1</v>
      </c>
      <c r="AA35" s="377">
        <v>1</v>
      </c>
      <c r="AB35" s="377">
        <v>3</v>
      </c>
      <c r="AC35" s="377">
        <v>1</v>
      </c>
      <c r="AD35" s="1044"/>
      <c r="AF35" s="1044"/>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4441</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7">
        <v>3</v>
      </c>
      <c r="Z36" s="377">
        <v>1</v>
      </c>
      <c r="AA36" s="377">
        <v>1</v>
      </c>
      <c r="AB36" s="377">
        <v>3</v>
      </c>
      <c r="AC36" s="377">
        <v>1</v>
      </c>
      <c r="AD36" s="1044"/>
      <c r="AF36" s="1044"/>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4441</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7">
        <v>3</v>
      </c>
      <c r="Z37" s="377">
        <v>1</v>
      </c>
      <c r="AA37" s="377">
        <v>1</v>
      </c>
      <c r="AB37" s="377">
        <v>3</v>
      </c>
      <c r="AC37" s="377">
        <v>1</v>
      </c>
      <c r="AD37" s="1044"/>
      <c r="AF37" s="1044"/>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4442</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7">
        <v>3</v>
      </c>
      <c r="Z38" s="377">
        <v>1</v>
      </c>
      <c r="AA38" s="377">
        <v>1</v>
      </c>
      <c r="AB38" s="377">
        <v>3</v>
      </c>
      <c r="AC38" s="377">
        <v>1</v>
      </c>
      <c r="AD38" s="1044"/>
      <c r="AF38" s="1044"/>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4442</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7">
        <v>3</v>
      </c>
      <c r="Z39" s="377">
        <v>1</v>
      </c>
      <c r="AA39" s="377">
        <v>1</v>
      </c>
      <c r="AB39" s="377">
        <v>3</v>
      </c>
      <c r="AC39" s="377">
        <v>1</v>
      </c>
      <c r="AD39" s="1044"/>
      <c r="AF39" s="1044"/>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4442</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7">
        <v>3</v>
      </c>
      <c r="Z40" s="377">
        <v>1</v>
      </c>
      <c r="AA40" s="377">
        <v>1</v>
      </c>
      <c r="AB40" s="377">
        <v>3</v>
      </c>
      <c r="AC40" s="377">
        <v>1</v>
      </c>
      <c r="AD40" s="1044"/>
      <c r="AF40" s="1044"/>
      <c r="AG40" s="1037" t="s">
        <v>2145</v>
      </c>
      <c r="AH40" s="1037"/>
      <c r="AI40" s="1037"/>
      <c r="AJ40" s="1037"/>
      <c r="AK40" s="1037"/>
      <c r="AL40" s="1037"/>
      <c r="AM40" s="1037"/>
      <c r="AN40" s="1037"/>
      <c r="AO40" s="1037"/>
      <c r="AP40" s="1037"/>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4442</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7">
        <v>3</v>
      </c>
      <c r="Z41" s="377">
        <v>1</v>
      </c>
      <c r="AA41" s="377">
        <v>1</v>
      </c>
      <c r="AB41" s="377">
        <v>3</v>
      </c>
      <c r="AC41" s="377">
        <v>1</v>
      </c>
      <c r="AD41" s="1044"/>
      <c r="AF41" s="1044"/>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4443</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7">
        <v>3</v>
      </c>
      <c r="Z42" s="377">
        <v>1</v>
      </c>
      <c r="AA42" s="377">
        <v>1</v>
      </c>
      <c r="AB42" s="377">
        <v>3</v>
      </c>
      <c r="AC42" s="377">
        <v>1</v>
      </c>
      <c r="AD42" s="1044"/>
      <c r="AF42" s="1044"/>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4443</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7">
        <v>3</v>
      </c>
      <c r="Z43" s="377">
        <v>1</v>
      </c>
      <c r="AA43" s="377">
        <v>1</v>
      </c>
      <c r="AB43" s="377">
        <v>3</v>
      </c>
      <c r="AC43" s="377">
        <v>1</v>
      </c>
      <c r="AD43" s="1044"/>
      <c r="AF43" s="1044"/>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4443</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7">
        <v>3</v>
      </c>
      <c r="Z44" s="377">
        <v>1</v>
      </c>
      <c r="AA44" s="377">
        <v>1</v>
      </c>
      <c r="AB44" s="377">
        <v>3</v>
      </c>
      <c r="AC44" s="377">
        <v>1</v>
      </c>
      <c r="AD44" s="1044"/>
      <c r="AF44" s="1044"/>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4443</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7">
        <v>3</v>
      </c>
      <c r="Z45" s="377">
        <v>1</v>
      </c>
      <c r="AA45" s="377">
        <v>1</v>
      </c>
      <c r="AB45" s="377">
        <v>3</v>
      </c>
      <c r="AC45" s="377">
        <v>1</v>
      </c>
      <c r="AD45" s="1044"/>
      <c r="AF45" s="1044"/>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4444</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7">
        <v>3</v>
      </c>
      <c r="Z46" s="377">
        <v>1</v>
      </c>
      <c r="AA46" s="377">
        <v>1</v>
      </c>
      <c r="AB46" s="377">
        <v>3</v>
      </c>
      <c r="AC46" s="377">
        <v>1</v>
      </c>
      <c r="AD46" s="1044"/>
      <c r="AF46" s="1044"/>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4444</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7">
        <v>3</v>
      </c>
      <c r="Z47" s="377">
        <v>1</v>
      </c>
      <c r="AA47" s="377">
        <v>1</v>
      </c>
      <c r="AB47" s="377">
        <v>3</v>
      </c>
      <c r="AC47" s="377">
        <v>1</v>
      </c>
      <c r="AD47" s="1044"/>
      <c r="AF47" s="1044"/>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4444</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7">
        <v>3</v>
      </c>
      <c r="Z48" s="377">
        <v>1</v>
      </c>
      <c r="AA48" s="377">
        <v>1</v>
      </c>
      <c r="AB48" s="377">
        <v>3</v>
      </c>
      <c r="AC48" s="377">
        <v>1</v>
      </c>
      <c r="AD48" s="1044"/>
      <c r="AF48" s="1044"/>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4444</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7">
        <v>3</v>
      </c>
      <c r="Z49" s="377">
        <v>1</v>
      </c>
      <c r="AA49" s="377">
        <v>1</v>
      </c>
      <c r="AB49" s="377">
        <v>3</v>
      </c>
      <c r="AC49" s="377">
        <v>1</v>
      </c>
      <c r="AD49" s="1044"/>
      <c r="AF49" s="1044"/>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4445</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7">
        <v>3</v>
      </c>
      <c r="Z50" s="377">
        <v>1</v>
      </c>
      <c r="AA50" s="377">
        <v>1</v>
      </c>
      <c r="AB50" s="377">
        <v>3</v>
      </c>
      <c r="AC50" s="377">
        <v>1</v>
      </c>
      <c r="AD50" s="1044"/>
      <c r="AF50" s="1044"/>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4445</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7">
        <v>3</v>
      </c>
      <c r="Z51" s="377">
        <v>1</v>
      </c>
      <c r="AA51" s="377">
        <v>1</v>
      </c>
      <c r="AB51" s="377">
        <v>3</v>
      </c>
      <c r="AC51" s="377">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4445</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7">
        <v>3</v>
      </c>
      <c r="Z52" s="377">
        <v>1</v>
      </c>
      <c r="AA52" s="377">
        <v>1</v>
      </c>
      <c r="AB52" s="377">
        <v>3</v>
      </c>
      <c r="AC52" s="377">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4445</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7">
        <v>3</v>
      </c>
      <c r="Z53" s="377">
        <v>1</v>
      </c>
      <c r="AA53" s="377">
        <v>1</v>
      </c>
      <c r="AB53" s="377">
        <v>3</v>
      </c>
      <c r="AC53" s="377">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4446</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7">
        <v>3</v>
      </c>
      <c r="Z54" s="377">
        <v>1</v>
      </c>
      <c r="AA54" s="377">
        <v>1</v>
      </c>
      <c r="AB54" s="377">
        <v>3</v>
      </c>
      <c r="AC54" s="377">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4446</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7">
        <v>3</v>
      </c>
      <c r="Z55" s="377">
        <v>1</v>
      </c>
      <c r="AA55" s="377">
        <v>1</v>
      </c>
      <c r="AB55" s="377">
        <v>3</v>
      </c>
      <c r="AC55" s="377">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4446</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7">
        <v>3</v>
      </c>
      <c r="Z56" s="377">
        <v>1</v>
      </c>
      <c r="AA56" s="377">
        <v>1</v>
      </c>
      <c r="AB56" s="377">
        <v>3</v>
      </c>
      <c r="AC56" s="377">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4446</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7">
        <v>3</v>
      </c>
      <c r="Z57" s="377">
        <v>1</v>
      </c>
      <c r="AA57" s="377">
        <v>1</v>
      </c>
      <c r="AB57" s="377">
        <v>3</v>
      </c>
      <c r="AC57" s="377">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4447</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7">
        <v>3</v>
      </c>
      <c r="Z58" s="377">
        <v>1</v>
      </c>
      <c r="AA58" s="377">
        <v>1</v>
      </c>
      <c r="AB58" s="377">
        <v>3</v>
      </c>
      <c r="AC58" s="377">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4447</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7">
        <v>3</v>
      </c>
      <c r="Z59" s="377">
        <v>1</v>
      </c>
      <c r="AA59" s="377">
        <v>1</v>
      </c>
      <c r="AB59" s="377">
        <v>3</v>
      </c>
      <c r="AC59" s="377">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4447</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7">
        <v>3</v>
      </c>
      <c r="Z60" s="377">
        <v>1</v>
      </c>
      <c r="AA60" s="377">
        <v>1</v>
      </c>
      <c r="AB60" s="377">
        <v>3</v>
      </c>
      <c r="AC60" s="377">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4447</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7">
        <v>3</v>
      </c>
      <c r="Z61" s="377">
        <v>1</v>
      </c>
      <c r="AA61" s="377">
        <v>1</v>
      </c>
      <c r="AB61" s="377">
        <v>3</v>
      </c>
      <c r="AC61" s="377">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4448</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7">
        <v>3</v>
      </c>
      <c r="Z62" s="377">
        <v>1</v>
      </c>
      <c r="AA62" s="377">
        <v>1</v>
      </c>
      <c r="AB62" s="377">
        <v>3</v>
      </c>
      <c r="AC62" s="377">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4448</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7">
        <v>3</v>
      </c>
      <c r="Z63" s="377">
        <v>1</v>
      </c>
      <c r="AA63" s="377">
        <v>1</v>
      </c>
      <c r="AB63" s="377">
        <v>3</v>
      </c>
      <c r="AC63" s="377">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4448</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7">
        <v>3</v>
      </c>
      <c r="Z64" s="377">
        <v>1</v>
      </c>
      <c r="AA64" s="377">
        <v>1</v>
      </c>
      <c r="AB64" s="377">
        <v>3</v>
      </c>
      <c r="AC64" s="377">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4448</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7">
        <v>3</v>
      </c>
      <c r="Z65" s="377">
        <v>1</v>
      </c>
      <c r="AA65" s="377">
        <v>1</v>
      </c>
      <c r="AB65" s="377">
        <v>3</v>
      </c>
      <c r="AC65" s="377">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4449</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7">
        <v>3</v>
      </c>
      <c r="Z66" s="377">
        <v>1</v>
      </c>
      <c r="AA66" s="377">
        <v>3</v>
      </c>
      <c r="AB66" s="377">
        <v>2</v>
      </c>
      <c r="AC66" s="377">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4449</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7">
        <v>3</v>
      </c>
      <c r="Z67" s="377">
        <v>1</v>
      </c>
      <c r="AA67" s="377">
        <v>3</v>
      </c>
      <c r="AB67" s="377">
        <v>2</v>
      </c>
      <c r="AC67" s="377">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4449</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7">
        <v>3</v>
      </c>
      <c r="Z68" s="377">
        <v>1</v>
      </c>
      <c r="AA68" s="377">
        <v>3</v>
      </c>
      <c r="AB68" s="377">
        <v>2</v>
      </c>
      <c r="AC68" s="377">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4449</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7">
        <v>3</v>
      </c>
      <c r="Z69" s="377">
        <v>1</v>
      </c>
      <c r="AA69" s="377">
        <v>3</v>
      </c>
      <c r="AB69" s="377">
        <v>2</v>
      </c>
      <c r="AC69" s="377">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4450</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7">
        <v>3</v>
      </c>
      <c r="Z70" s="377">
        <v>1</v>
      </c>
      <c r="AA70" s="377">
        <v>1</v>
      </c>
      <c r="AB70" s="377">
        <v>3</v>
      </c>
      <c r="AC70" s="377">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4450</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7">
        <v>3</v>
      </c>
      <c r="Z71" s="377">
        <v>1</v>
      </c>
      <c r="AA71" s="377">
        <v>1</v>
      </c>
      <c r="AB71" s="377">
        <v>3</v>
      </c>
      <c r="AC71" s="377">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4450</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7">
        <v>3</v>
      </c>
      <c r="Z72" s="377">
        <v>1</v>
      </c>
      <c r="AA72" s="377">
        <v>1</v>
      </c>
      <c r="AB72" s="377">
        <v>3</v>
      </c>
      <c r="AC72" s="377">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4451</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7">
        <v>3</v>
      </c>
      <c r="Z73" s="377">
        <v>1</v>
      </c>
      <c r="AA73" s="377">
        <v>1</v>
      </c>
      <c r="AB73" s="377">
        <v>3</v>
      </c>
      <c r="AC73" s="377">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4451</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7">
        <v>3</v>
      </c>
      <c r="Z74" s="377">
        <v>1</v>
      </c>
      <c r="AA74" s="377">
        <v>1</v>
      </c>
      <c r="AB74" s="377">
        <v>3</v>
      </c>
      <c r="AC74" s="377">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4451</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7">
        <v>3</v>
      </c>
      <c r="Z75" s="377">
        <v>1</v>
      </c>
      <c r="AA75" s="377">
        <v>1</v>
      </c>
      <c r="AB75" s="377">
        <v>3</v>
      </c>
      <c r="AC75" s="377">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4452</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7">
        <v>3</v>
      </c>
      <c r="Z76" s="377">
        <v>1</v>
      </c>
      <c r="AA76" s="377">
        <v>1</v>
      </c>
      <c r="AB76" s="377">
        <v>3</v>
      </c>
      <c r="AC76" s="377">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4452</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7">
        <v>3</v>
      </c>
      <c r="Z77" s="377">
        <v>1</v>
      </c>
      <c r="AA77" s="377">
        <v>1</v>
      </c>
      <c r="AB77" s="377">
        <v>3</v>
      </c>
      <c r="AC77" s="377">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4452</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7">
        <v>3</v>
      </c>
      <c r="Z78" s="377">
        <v>1</v>
      </c>
      <c r="AA78" s="377">
        <v>1</v>
      </c>
      <c r="AB78" s="377">
        <v>3</v>
      </c>
      <c r="AC78" s="377">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4453</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7">
        <v>3</v>
      </c>
      <c r="Z79" s="377">
        <v>1</v>
      </c>
      <c r="AA79" s="377">
        <v>1</v>
      </c>
      <c r="AB79" s="377">
        <v>3</v>
      </c>
      <c r="AC79" s="377">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4453</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7">
        <v>3</v>
      </c>
      <c r="Z80" s="377">
        <v>1</v>
      </c>
      <c r="AA80" s="377">
        <v>1</v>
      </c>
      <c r="AB80" s="377">
        <v>3</v>
      </c>
      <c r="AC80" s="377">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4453</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7">
        <v>3</v>
      </c>
      <c r="Z81" s="377">
        <v>1</v>
      </c>
      <c r="AA81" s="377">
        <v>1</v>
      </c>
      <c r="AB81" s="377">
        <v>3</v>
      </c>
      <c r="AC81" s="377">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4454</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7">
        <v>3</v>
      </c>
      <c r="Z82" s="377">
        <v>1</v>
      </c>
      <c r="AA82" s="377">
        <v>1</v>
      </c>
      <c r="AB82" s="377">
        <v>3</v>
      </c>
      <c r="AC82" s="377">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4454</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7">
        <v>3</v>
      </c>
      <c r="Z83" s="377">
        <v>1</v>
      </c>
      <c r="AA83" s="377">
        <v>1</v>
      </c>
      <c r="AB83" s="377">
        <v>3</v>
      </c>
      <c r="AC83" s="377">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4454</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7">
        <v>3</v>
      </c>
      <c r="Z84" s="377">
        <v>1</v>
      </c>
      <c r="AA84" s="377">
        <v>1</v>
      </c>
      <c r="AB84" s="377">
        <v>3</v>
      </c>
      <c r="AC84" s="377">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4455</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7">
        <v>3</v>
      </c>
      <c r="Z85" s="377">
        <v>1</v>
      </c>
      <c r="AA85" s="377">
        <v>1</v>
      </c>
      <c r="AB85" s="377">
        <v>3</v>
      </c>
      <c r="AC85" s="377">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4455</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7">
        <v>3</v>
      </c>
      <c r="Z86" s="377">
        <v>1</v>
      </c>
      <c r="AA86" s="377">
        <v>1</v>
      </c>
      <c r="AB86" s="377">
        <v>3</v>
      </c>
      <c r="AC86" s="377">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4455</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7">
        <v>3</v>
      </c>
      <c r="Z87" s="377">
        <v>1</v>
      </c>
      <c r="AA87" s="377">
        <v>1</v>
      </c>
      <c r="AB87" s="377">
        <v>3</v>
      </c>
      <c r="AC87" s="377">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4456</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7">
        <v>3</v>
      </c>
      <c r="Z88" s="377">
        <v>1</v>
      </c>
      <c r="AA88" s="377">
        <v>1</v>
      </c>
      <c r="AB88" s="377">
        <v>3</v>
      </c>
      <c r="AC88" s="377">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4456</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7">
        <v>3</v>
      </c>
      <c r="Z89" s="377">
        <v>1</v>
      </c>
      <c r="AA89" s="377">
        <v>1</v>
      </c>
      <c r="AB89" s="377">
        <v>3</v>
      </c>
      <c r="AC89" s="377">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4456</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7">
        <v>3</v>
      </c>
      <c r="Z90" s="377">
        <v>1</v>
      </c>
      <c r="AA90" s="377">
        <v>1</v>
      </c>
      <c r="AB90" s="377">
        <v>3</v>
      </c>
      <c r="AC90" s="377">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4457</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7">
        <v>3</v>
      </c>
      <c r="Z91" s="377">
        <v>1</v>
      </c>
      <c r="AA91" s="377">
        <v>1</v>
      </c>
      <c r="AB91" s="377">
        <v>3</v>
      </c>
      <c r="AC91" s="377">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4457</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7">
        <v>3</v>
      </c>
      <c r="Z92" s="377">
        <v>1</v>
      </c>
      <c r="AA92" s="377">
        <v>1</v>
      </c>
      <c r="AB92" s="377">
        <v>3</v>
      </c>
      <c r="AC92" s="377">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4457</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7">
        <v>3</v>
      </c>
      <c r="Z93" s="377">
        <v>1</v>
      </c>
      <c r="AA93" s="377">
        <v>1</v>
      </c>
      <c r="AB93" s="377">
        <v>3</v>
      </c>
      <c r="AC93" s="377">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4458</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7">
        <v>3</v>
      </c>
      <c r="Z94" s="377">
        <v>1</v>
      </c>
      <c r="AA94" s="377">
        <v>1</v>
      </c>
      <c r="AB94" s="377">
        <v>3</v>
      </c>
      <c r="AC94" s="377">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4458</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7">
        <v>3</v>
      </c>
      <c r="Z95" s="377">
        <v>1</v>
      </c>
      <c r="AA95" s="377">
        <v>1</v>
      </c>
      <c r="AB95" s="377">
        <v>3</v>
      </c>
      <c r="AC95" s="377">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4458</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7">
        <v>3</v>
      </c>
      <c r="Z96" s="377">
        <v>1</v>
      </c>
      <c r="AA96" s="377">
        <v>1</v>
      </c>
      <c r="AB96" s="377">
        <v>3</v>
      </c>
      <c r="AC96" s="377">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4459</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7">
        <v>3</v>
      </c>
      <c r="Z97" s="377">
        <v>1</v>
      </c>
      <c r="AA97" s="377">
        <v>1</v>
      </c>
      <c r="AB97" s="377">
        <v>3</v>
      </c>
      <c r="AC97" s="377">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4459</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7">
        <v>3</v>
      </c>
      <c r="Z98" s="377">
        <v>1</v>
      </c>
      <c r="AA98" s="377">
        <v>1</v>
      </c>
      <c r="AB98" s="377">
        <v>3</v>
      </c>
      <c r="AC98" s="377">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4459</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7">
        <v>3</v>
      </c>
      <c r="Z99" s="377">
        <v>1</v>
      </c>
      <c r="AA99" s="377">
        <v>1</v>
      </c>
      <c r="AB99" s="377">
        <v>3</v>
      </c>
      <c r="AC99" s="377">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4459</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7">
        <v>3</v>
      </c>
      <c r="Z100" s="377">
        <v>1</v>
      </c>
      <c r="AA100" s="377">
        <v>1</v>
      </c>
      <c r="AB100" s="377">
        <v>3</v>
      </c>
      <c r="AC100" s="377">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4459</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7">
        <v>3</v>
      </c>
      <c r="Z101" s="377">
        <v>1</v>
      </c>
      <c r="AA101" s="377">
        <v>1</v>
      </c>
      <c r="AB101" s="377">
        <v>3</v>
      </c>
      <c r="AC101" s="377">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4460</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7">
        <v>3</v>
      </c>
      <c r="Z102" s="377">
        <v>1</v>
      </c>
      <c r="AA102" s="377">
        <v>1</v>
      </c>
      <c r="AB102" s="377">
        <v>3</v>
      </c>
      <c r="AC102" s="377">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4460</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7">
        <v>3</v>
      </c>
      <c r="Z103" s="377">
        <v>1</v>
      </c>
      <c r="AA103" s="377">
        <v>1</v>
      </c>
      <c r="AB103" s="377">
        <v>3</v>
      </c>
      <c r="AC103" s="377">
        <v>2</v>
      </c>
      <c r="AG103" s="1093" t="s">
        <v>2151</v>
      </c>
      <c r="AH103" s="1094"/>
      <c r="AI103" s="1094"/>
      <c r="AJ103" s="1094"/>
      <c r="AK103" s="1094"/>
      <c r="AL103" s="1094"/>
      <c r="AM103" s="1094"/>
      <c r="AN103" s="1095"/>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4460</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7">
        <v>3</v>
      </c>
      <c r="Z104" s="377">
        <v>1</v>
      </c>
      <c r="AA104" s="377">
        <v>1</v>
      </c>
      <c r="AB104" s="377">
        <v>3</v>
      </c>
      <c r="AC104" s="377">
        <v>2</v>
      </c>
      <c r="AG104" s="379"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4460</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7">
        <v>3</v>
      </c>
      <c r="Z105" s="377">
        <v>1</v>
      </c>
      <c r="AA105" s="377">
        <v>1</v>
      </c>
      <c r="AB105" s="377">
        <v>3</v>
      </c>
      <c r="AC105" s="377">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4460</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7">
        <v>3</v>
      </c>
      <c r="Z106" s="377">
        <v>1</v>
      </c>
      <c r="AA106" s="377">
        <v>1</v>
      </c>
      <c r="AB106" s="377">
        <v>3</v>
      </c>
      <c r="AC106" s="377">
        <v>2</v>
      </c>
      <c r="AG106" s="379" t="s">
        <v>1641</v>
      </c>
      <c r="AK106" t="s">
        <v>1671</v>
      </c>
      <c r="AL106" s="412">
        <f>'Background Data'!AP152/('Background Data'!C123/1000)</f>
        <v>132.65616258154392</v>
      </c>
      <c r="AM106" s="412">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4487</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7">
        <v>3</v>
      </c>
      <c r="Z107" s="377">
        <v>1</v>
      </c>
      <c r="AA107" s="377">
        <v>1</v>
      </c>
      <c r="AB107" s="377">
        <v>3</v>
      </c>
      <c r="AC107" s="377">
        <v>1</v>
      </c>
      <c r="AG107" s="381" t="s">
        <v>643</v>
      </c>
      <c r="AH107" s="412">
        <f>'OEO &amp; EPAUS9rT Data'!I6/km_mile*USD2018_to_CAD2020</f>
        <v>6.2004772465000091</v>
      </c>
      <c r="AI107" s="412"/>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4487</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7">
        <v>3</v>
      </c>
      <c r="Z108" s="377">
        <v>1</v>
      </c>
      <c r="AA108" s="377">
        <v>1</v>
      </c>
      <c r="AB108" s="377">
        <v>3</v>
      </c>
      <c r="AC108" s="377">
        <v>1</v>
      </c>
      <c r="AG108" s="381" t="s">
        <v>645</v>
      </c>
      <c r="AH108" s="412">
        <f>'OEO &amp; EPAUS9rT Data'!I10/km_mile*USD2018_to_CAD2020</f>
        <v>6.2384811242296454</v>
      </c>
      <c r="AI108" s="412"/>
      <c r="AK108" s="415"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4487</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7">
        <v>3</v>
      </c>
      <c r="Z109" s="377">
        <v>1</v>
      </c>
      <c r="AA109" s="377">
        <v>1</v>
      </c>
      <c r="AB109" s="377">
        <v>3</v>
      </c>
      <c r="AC109" s="377">
        <v>1</v>
      </c>
      <c r="AG109" s="381" t="s">
        <v>648</v>
      </c>
      <c r="AH109" s="412">
        <f>'OEO &amp; EPAUS9rT Data'!I8/km_mile*USD2018_to_CAD2020</f>
        <v>6.2004772465000091</v>
      </c>
      <c r="AI109" s="412"/>
      <c r="AK109" s="1106" t="s">
        <v>1676</v>
      </c>
      <c r="AL109" s="1106"/>
      <c r="AM109" s="1106"/>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4487</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7">
        <v>3</v>
      </c>
      <c r="Z110" s="377">
        <v>1</v>
      </c>
      <c r="AA110" s="377">
        <v>1</v>
      </c>
      <c r="AB110" s="377">
        <v>3</v>
      </c>
      <c r="AC110" s="377">
        <v>1</v>
      </c>
      <c r="AG110" s="381" t="s">
        <v>644</v>
      </c>
      <c r="AH110" s="412"/>
      <c r="AI110" s="412">
        <f>'OEO &amp; EPAUS9rT Data'!I12/km_mile*USD2018_to_CAD2020</f>
        <v>6.2004772465000091</v>
      </c>
      <c r="AK110" s="1106"/>
      <c r="AL110" s="1106"/>
      <c r="AM110" s="1106"/>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4487</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7">
        <v>3</v>
      </c>
      <c r="Z111" s="377">
        <v>1</v>
      </c>
      <c r="AA111" s="377">
        <v>1</v>
      </c>
      <c r="AB111" s="377">
        <v>3</v>
      </c>
      <c r="AC111" s="377">
        <v>1</v>
      </c>
      <c r="AG111" s="381" t="s">
        <v>646</v>
      </c>
      <c r="AH111" s="412">
        <f>'OEO &amp; EPAUS9rT Data'!I14/km_mile*USD2018_to_CAD2020</f>
        <v>7.0765391327087128</v>
      </c>
      <c r="AI111" s="412"/>
      <c r="AK111" s="1106"/>
      <c r="AL111" s="1106"/>
      <c r="AM111" s="1106"/>
      <c r="AN111" s="63"/>
      <c r="AS111" s="1093" t="s">
        <v>2153</v>
      </c>
      <c r="AT111" s="1094"/>
      <c r="AU111" s="1094"/>
      <c r="AV111" s="1094"/>
      <c r="AW111" s="1094"/>
      <c r="AX111" s="1094"/>
      <c r="AY111" s="1094"/>
      <c r="AZ111" s="1094"/>
      <c r="BA111" s="1094"/>
      <c r="BB111" s="1094"/>
      <c r="BC111" s="1094"/>
      <c r="BD111" s="1094"/>
      <c r="BE111" s="1094"/>
      <c r="BF111" s="1095"/>
      <c r="BI111" s="28" t="s">
        <v>1530</v>
      </c>
    </row>
    <row r="112" spans="1:68" ht="15.75" x14ac:dyDescent="0.25">
      <c r="A112" t="s">
        <v>4487</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7">
        <v>3</v>
      </c>
      <c r="Z112" s="377">
        <v>1</v>
      </c>
      <c r="AA112" s="377">
        <v>1</v>
      </c>
      <c r="AB112" s="377">
        <v>3</v>
      </c>
      <c r="AC112" s="377">
        <v>1</v>
      </c>
      <c r="AG112" s="381" t="s">
        <v>647</v>
      </c>
      <c r="AH112" s="412"/>
      <c r="AI112" s="412">
        <f>'OEO &amp; EPAUS9rT Data'!I11/km_mile*USD2018_to_CAD2020</f>
        <v>6.2004772465000091</v>
      </c>
      <c r="AK112" s="370"/>
      <c r="AL112" s="370"/>
      <c r="AM112" s="370"/>
      <c r="AN112" s="63"/>
      <c r="AS112" s="393" t="s">
        <v>1541</v>
      </c>
      <c r="AU112" s="260"/>
      <c r="AV112" s="260"/>
      <c r="AW112" s="260"/>
      <c r="AX112" s="260"/>
      <c r="AY112" s="260"/>
      <c r="AZ112" s="260"/>
      <c r="BA112" s="260"/>
      <c r="BB112" s="260"/>
      <c r="BC112" s="260"/>
      <c r="BD112" s="260"/>
      <c r="BE112" s="260"/>
      <c r="BF112" s="394"/>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4488</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7">
        <v>3</v>
      </c>
      <c r="Z113" s="377">
        <v>1</v>
      </c>
      <c r="AA113" s="377">
        <v>1</v>
      </c>
      <c r="AB113" s="377">
        <v>3</v>
      </c>
      <c r="AC113" s="377">
        <v>1</v>
      </c>
      <c r="AG113" s="407" t="s">
        <v>1639</v>
      </c>
      <c r="AK113" s="419"/>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8"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4488</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7">
        <v>3</v>
      </c>
      <c r="Z114" s="377">
        <v>1</v>
      </c>
      <c r="AA114" s="377">
        <v>1</v>
      </c>
      <c r="AB114" s="377">
        <v>3</v>
      </c>
      <c r="AC114" s="377">
        <v>1</v>
      </c>
      <c r="AG114" s="64"/>
      <c r="AN114" s="63"/>
      <c r="AS114" s="379"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4488</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7">
        <v>3</v>
      </c>
      <c r="Z115" s="377">
        <v>1</v>
      </c>
      <c r="AA115" s="377">
        <v>1</v>
      </c>
      <c r="AB115" s="377">
        <v>3</v>
      </c>
      <c r="AC115" s="377">
        <v>1</v>
      </c>
      <c r="AG115" s="379" t="s">
        <v>1679</v>
      </c>
      <c r="AJ115" s="28"/>
      <c r="AN115" s="63"/>
      <c r="AS115" s="422">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3">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4488</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7">
        <v>3</v>
      </c>
      <c r="Z116" s="377">
        <v>1</v>
      </c>
      <c r="AA116" s="377">
        <v>1</v>
      </c>
      <c r="AB116" s="377">
        <v>3</v>
      </c>
      <c r="AC116" s="377">
        <v>1</v>
      </c>
      <c r="AG116" s="232" t="s">
        <v>576</v>
      </c>
      <c r="AH116" s="104">
        <v>2021</v>
      </c>
      <c r="AI116" s="104">
        <v>2025</v>
      </c>
      <c r="AJ116" s="88">
        <v>2030</v>
      </c>
      <c r="AN116" s="63"/>
      <c r="AS116" s="422">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3">
        <f t="shared" si="36"/>
        <v>1666.6356023463386</v>
      </c>
      <c r="BI116" s="28" t="s">
        <v>1531</v>
      </c>
    </row>
    <row r="117" spans="1:69" ht="15.75" thickTop="1" x14ac:dyDescent="0.25">
      <c r="A117" t="s">
        <v>4488</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7">
        <v>3</v>
      </c>
      <c r="Z117" s="377">
        <v>1</v>
      </c>
      <c r="AA117" s="377">
        <v>1</v>
      </c>
      <c r="AB117" s="377">
        <v>3</v>
      </c>
      <c r="AC117" s="377">
        <v>1</v>
      </c>
      <c r="AG117" s="379" t="s">
        <v>591</v>
      </c>
      <c r="AN117" s="63"/>
      <c r="AS117" s="424">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5">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4488</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7">
        <v>3</v>
      </c>
      <c r="Z118" s="377">
        <v>1</v>
      </c>
      <c r="AA118" s="377">
        <v>1</v>
      </c>
      <c r="AB118" s="377">
        <v>3</v>
      </c>
      <c r="AC118" s="377">
        <v>1</v>
      </c>
      <c r="AG118" s="381" t="s">
        <v>1592</v>
      </c>
      <c r="AH118" s="420">
        <f>'OEO &amp; EPAUS9rT Data'!S33/km_mile*USD2018_to_CAD2020</f>
        <v>54.022328099966465</v>
      </c>
      <c r="AI118" s="420"/>
      <c r="AJ118" s="420"/>
      <c r="AN118" s="63"/>
      <c r="AS118" s="379"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4461</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7">
        <v>3</v>
      </c>
      <c r="Z119" s="377">
        <v>1</v>
      </c>
      <c r="AA119" s="377">
        <v>1</v>
      </c>
      <c r="AB119" s="377">
        <v>3</v>
      </c>
      <c r="AC119" s="377">
        <v>1</v>
      </c>
      <c r="AG119" s="381" t="s">
        <v>893</v>
      </c>
      <c r="AH119" s="420"/>
      <c r="AI119" s="420"/>
      <c r="AJ119" s="420">
        <f>'OEO &amp; EPAUS9rT Data'!U34/km_mile*USD2018_to_CAD2020</f>
        <v>71.669641333068242</v>
      </c>
      <c r="AN119" s="63"/>
      <c r="AS119" s="422">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3">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4461</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7">
        <v>3</v>
      </c>
      <c r="Z120" s="377">
        <v>1</v>
      </c>
      <c r="AA120" s="377">
        <v>1</v>
      </c>
      <c r="AB120" s="377">
        <v>3</v>
      </c>
      <c r="AC120" s="377">
        <v>1</v>
      </c>
      <c r="AG120" s="379" t="s">
        <v>66</v>
      </c>
      <c r="AH120" s="420"/>
      <c r="AI120" s="420"/>
      <c r="AJ120" s="420"/>
      <c r="AN120" s="63"/>
      <c r="AS120" s="422">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3">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4461</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7">
        <v>3</v>
      </c>
      <c r="Z121" s="377">
        <v>1</v>
      </c>
      <c r="AA121" s="377">
        <v>1</v>
      </c>
      <c r="AB121" s="377">
        <v>3</v>
      </c>
      <c r="AC121" s="377">
        <v>1</v>
      </c>
      <c r="AG121" s="381" t="s">
        <v>1592</v>
      </c>
      <c r="AH121" s="420">
        <f>'OEO &amp; EPAUS9rT Data'!S36/km_mile*USD2018_to_CAD2020</f>
        <v>1.6328712608746447</v>
      </c>
      <c r="AI121" s="420"/>
      <c r="AJ121" s="420"/>
      <c r="AN121" s="63"/>
      <c r="AS121" s="422">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3">
        <f t="shared" si="45"/>
        <v>990.05089242620352</v>
      </c>
      <c r="BI121" s="28" t="s">
        <v>1532</v>
      </c>
    </row>
    <row r="122" spans="1:69" ht="15.75" thickBot="1" x14ac:dyDescent="0.3">
      <c r="A122" t="s">
        <v>4461</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7">
        <v>3</v>
      </c>
      <c r="Z122" s="377">
        <v>1</v>
      </c>
      <c r="AA122" s="377">
        <v>1</v>
      </c>
      <c r="AB122" s="377">
        <v>3</v>
      </c>
      <c r="AC122" s="377">
        <v>1</v>
      </c>
      <c r="AG122" s="381" t="s">
        <v>893</v>
      </c>
      <c r="AH122" s="420"/>
      <c r="AI122" s="420"/>
      <c r="AJ122" s="420">
        <f>'OEO &amp; EPAUS9rT Data'!U37/km_mile*USD2018_to_CAD2020</f>
        <v>3.1503529526474812</v>
      </c>
      <c r="AN122" s="63"/>
      <c r="AS122" s="426">
        <f>AS99*$AK$93 + AS104*$AK$94 + AS109*$AK$95</f>
        <v>12377.898892522997</v>
      </c>
      <c r="AT122" s="68">
        <v>15</v>
      </c>
      <c r="AU122" s="427">
        <f t="shared" ref="AU122:BF122" si="46">AU99*$AK$93 + AU104*$AK$94 + AU109*$AK$95</f>
        <v>455.262412893347</v>
      </c>
      <c r="AV122" s="427">
        <f t="shared" si="46"/>
        <v>509.22870638058845</v>
      </c>
      <c r="AW122" s="427">
        <f t="shared" si="46"/>
        <v>600.41098050375615</v>
      </c>
      <c r="AX122" s="427">
        <f t="shared" si="46"/>
        <v>738.52429621118915</v>
      </c>
      <c r="AY122" s="427">
        <f t="shared" si="46"/>
        <v>663.99321409335812</v>
      </c>
      <c r="AZ122" s="427">
        <f t="shared" si="46"/>
        <v>690.20155388531361</v>
      </c>
      <c r="BA122" s="427">
        <f t="shared" si="46"/>
        <v>615.65603080961819</v>
      </c>
      <c r="BB122" s="427">
        <f t="shared" si="46"/>
        <v>1295.5992639287006</v>
      </c>
      <c r="BC122" s="427">
        <f t="shared" si="46"/>
        <v>500.15565531502568</v>
      </c>
      <c r="BD122" s="427">
        <f t="shared" si="46"/>
        <v>511.05508861391934</v>
      </c>
      <c r="BE122" s="427">
        <f t="shared" si="46"/>
        <v>1267.5484571368122</v>
      </c>
      <c r="BF122" s="428">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4461</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7">
        <v>3</v>
      </c>
      <c r="Z123" s="377">
        <v>1</v>
      </c>
      <c r="AA123" s="377">
        <v>1</v>
      </c>
      <c r="AB123" s="377">
        <v>3</v>
      </c>
      <c r="AC123" s="377">
        <v>1</v>
      </c>
      <c r="AG123" s="381" t="s">
        <v>233</v>
      </c>
      <c r="AH123" s="420"/>
      <c r="AI123" s="420">
        <f>'OEO &amp; EPAUS9rT Data'!T38/km_mile*USD2018_to_CAD2020</f>
        <v>2.699666525924914</v>
      </c>
      <c r="AJ123" s="420"/>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4461</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7">
        <v>3</v>
      </c>
      <c r="Z124" s="377">
        <v>1</v>
      </c>
      <c r="AA124" s="377">
        <v>1</v>
      </c>
      <c r="AB124" s="377">
        <v>3</v>
      </c>
      <c r="AC124" s="377">
        <v>1</v>
      </c>
      <c r="AG124" s="387" t="s">
        <v>1214</v>
      </c>
      <c r="AH124" s="420"/>
      <c r="AI124" s="420"/>
      <c r="AJ124" s="420"/>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4462</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7">
        <v>3</v>
      </c>
      <c r="Z125" s="377">
        <v>1</v>
      </c>
      <c r="AA125" s="377">
        <v>1</v>
      </c>
      <c r="AB125" s="377">
        <v>3</v>
      </c>
      <c r="AC125" s="377">
        <v>1</v>
      </c>
      <c r="AG125" s="381" t="s">
        <v>1622</v>
      </c>
      <c r="AH125" s="420">
        <f>('OEO &amp; EPAUS9rT Data'!S59*'GREET-AFLEET Data'!$M$76 + 'OEO &amp; EPAUS9rT Data'!S63*'GREET-AFLEET Data'!$M$77)/km_mile*USD2018_to_CAD2020</f>
        <v>3.6767166485310566E-2</v>
      </c>
      <c r="AI125" s="420"/>
      <c r="AJ125" s="420"/>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4462</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7">
        <v>3</v>
      </c>
      <c r="Z126" s="377">
        <v>1</v>
      </c>
      <c r="AA126" s="377">
        <v>1</v>
      </c>
      <c r="AB126" s="377">
        <v>3</v>
      </c>
      <c r="AC126" s="377">
        <v>1</v>
      </c>
      <c r="AG126" s="381" t="s">
        <v>1623</v>
      </c>
      <c r="AH126" s="420">
        <f>('OEO &amp; EPAUS9rT Data'!S60*'GREET-AFLEET Data'!$M$76 + 'OEO &amp; EPAUS9rT Data'!S64*'GREET-AFLEET Data'!$M$77)/km_mile*USD2018_to_CAD2020</f>
        <v>3.5749316995214754E-2</v>
      </c>
      <c r="AI126" s="420"/>
      <c r="AJ126" s="420"/>
      <c r="AN126" s="63"/>
      <c r="BI126" s="28" t="s">
        <v>1533</v>
      </c>
      <c r="BQ126" s="309" t="s">
        <v>1585</v>
      </c>
    </row>
    <row r="127" spans="1:69" ht="15.75" thickBot="1" x14ac:dyDescent="0.3">
      <c r="A127" t="s">
        <v>4462</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7">
        <v>3</v>
      </c>
      <c r="Z127" s="377">
        <v>1</v>
      </c>
      <c r="AA127" s="377">
        <v>1</v>
      </c>
      <c r="AB127" s="377">
        <v>3</v>
      </c>
      <c r="AC127" s="377">
        <v>1</v>
      </c>
      <c r="AG127" s="388" t="s">
        <v>233</v>
      </c>
      <c r="AH127" s="421"/>
      <c r="AI127" s="421">
        <f>('OEO &amp; EPAUS9rT Data'!T61*'GREET-AFLEET Data'!$M$76 + 'OEO &amp; EPAUS9rT Data'!T65*'GREET-AFLEET Data'!$M$77)/km_mile*USD2018_to_CAD2020</f>
        <v>5.1561734863167584E-2</v>
      </c>
      <c r="AJ127" s="421"/>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4462</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7">
        <v>3</v>
      </c>
      <c r="Z128" s="377">
        <v>1</v>
      </c>
      <c r="AA128" s="377">
        <v>1</v>
      </c>
      <c r="AB128" s="377">
        <v>3</v>
      </c>
      <c r="AC128" s="377">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4462</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7">
        <v>3</v>
      </c>
      <c r="Z129" s="377">
        <v>1</v>
      </c>
      <c r="AA129" s="377">
        <v>1</v>
      </c>
      <c r="AB129" s="377">
        <v>3</v>
      </c>
      <c r="AC129" s="377">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4462</v>
      </c>
      <c r="B130" s="202" t="s">
        <v>95</v>
      </c>
      <c r="C130" s="202" t="s">
        <v>1644</v>
      </c>
      <c r="D130" s="202">
        <v>2022</v>
      </c>
      <c r="E130" s="202">
        <v>2018</v>
      </c>
      <c r="F130" s="202" t="s">
        <v>1781</v>
      </c>
      <c r="G130" s="933">
        <f t="shared" si="13"/>
        <v>1.3371624000000004</v>
      </c>
      <c r="H130" s="202">
        <v>2020</v>
      </c>
      <c r="I130" s="202" t="s">
        <v>1783</v>
      </c>
      <c r="J130" s="202" t="s">
        <v>1548</v>
      </c>
      <c r="K130" s="934">
        <v>2045</v>
      </c>
      <c r="L130" s="303"/>
      <c r="M130" s="303"/>
      <c r="N130" s="303"/>
      <c r="O130" s="303"/>
      <c r="P130" s="911">
        <f>$AH$125</f>
        <v>3.6767166485310566E-2</v>
      </c>
      <c r="W130" s="203"/>
      <c r="X130" s="240" t="s">
        <v>1804</v>
      </c>
      <c r="Y130" s="742">
        <v>3</v>
      </c>
      <c r="Z130" s="742">
        <v>1</v>
      </c>
      <c r="AA130" s="742">
        <v>1</v>
      </c>
      <c r="AB130" s="742">
        <v>3</v>
      </c>
      <c r="AC130" s="742">
        <v>1</v>
      </c>
      <c r="AE130" s="935"/>
      <c r="AG130" s="936" t="s">
        <v>1680</v>
      </c>
      <c r="AH130" s="936" t="s">
        <v>92</v>
      </c>
      <c r="AI130" s="936">
        <v>2005</v>
      </c>
      <c r="AJ130" s="936">
        <v>2020</v>
      </c>
      <c r="AK130" s="936">
        <v>2035</v>
      </c>
      <c r="AL130" s="936">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7">
        <v>3</v>
      </c>
      <c r="Z131" s="377">
        <v>1</v>
      </c>
      <c r="AA131" s="377">
        <v>1</v>
      </c>
      <c r="AB131" s="377">
        <v>3</v>
      </c>
      <c r="AC131" s="377">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7">
        <v>3</v>
      </c>
      <c r="Z132" s="377">
        <v>1</v>
      </c>
      <c r="AA132" s="377">
        <v>1</v>
      </c>
      <c r="AB132" s="377">
        <v>3</v>
      </c>
      <c r="AC132" s="377">
        <v>1</v>
      </c>
      <c r="AH132" t="s">
        <v>247</v>
      </c>
      <c r="AI132" s="330">
        <v>40.845620883522486</v>
      </c>
      <c r="AJ132" s="330">
        <v>40.845620883522486</v>
      </c>
      <c r="AK132" s="330">
        <v>40.845620883522486</v>
      </c>
      <c r="AL132" s="330">
        <v>40.845620883522486</v>
      </c>
      <c r="BI132" s="1093" t="s">
        <v>2154</v>
      </c>
      <c r="BJ132" s="1094"/>
      <c r="BK132" s="1094"/>
      <c r="BL132" s="1094"/>
      <c r="BM132" s="1094"/>
      <c r="BN132" s="1094"/>
      <c r="BO132" s="1094"/>
      <c r="BP132" s="1094"/>
      <c r="BQ132" s="1095"/>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7">
        <v>3</v>
      </c>
      <c r="Z133" s="377">
        <v>1</v>
      </c>
      <c r="AA133" s="377">
        <v>1</v>
      </c>
      <c r="AB133" s="377">
        <v>3</v>
      </c>
      <c r="AC133" s="377">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7">
        <v>3</v>
      </c>
      <c r="Z134" s="377">
        <v>1</v>
      </c>
      <c r="AA134" s="377">
        <v>1</v>
      </c>
      <c r="AB134" s="377">
        <v>3</v>
      </c>
      <c r="AC134" s="377">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7">
        <v>3</v>
      </c>
      <c r="Z135" s="377">
        <v>1</v>
      </c>
      <c r="AA135" s="377">
        <v>1</v>
      </c>
      <c r="AB135" s="377">
        <v>3</v>
      </c>
      <c r="AC135" s="377">
        <v>1</v>
      </c>
      <c r="AG135" t="s">
        <v>1684</v>
      </c>
      <c r="AH135" t="s">
        <v>1682</v>
      </c>
      <c r="AI135" s="330">
        <v>675.22780849896355</v>
      </c>
      <c r="AJ135" s="330">
        <v>675.22780849896355</v>
      </c>
      <c r="AK135" s="330">
        <v>675.22780849896355</v>
      </c>
      <c r="AL135" s="330">
        <v>675.22780849896355</v>
      </c>
      <c r="BI135" s="379"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7">
        <v>3</v>
      </c>
      <c r="Z136" s="377">
        <v>1</v>
      </c>
      <c r="AA136" s="377">
        <v>1</v>
      </c>
      <c r="AB136" s="377">
        <v>3</v>
      </c>
      <c r="AC136" s="377">
        <v>1</v>
      </c>
      <c r="AH136" t="s">
        <v>247</v>
      </c>
      <c r="AI136" s="330">
        <v>540.18224679917091</v>
      </c>
      <c r="AJ136" s="330">
        <v>540.18224679917091</v>
      </c>
      <c r="AK136" s="330">
        <v>540.18224679917091</v>
      </c>
      <c r="AL136" s="330">
        <v>540.18224679917091</v>
      </c>
      <c r="BI136" s="429">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7">
        <v>3</v>
      </c>
      <c r="Z137" s="377">
        <v>1</v>
      </c>
      <c r="AA137" s="377">
        <v>1</v>
      </c>
      <c r="AB137" s="377">
        <v>3</v>
      </c>
      <c r="AC137" s="377">
        <v>1</v>
      </c>
      <c r="BI137" s="429">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7">
        <v>3</v>
      </c>
      <c r="Z138" s="377">
        <v>1</v>
      </c>
      <c r="AA138" s="377">
        <v>1</v>
      </c>
      <c r="AB138" s="377">
        <v>3</v>
      </c>
      <c r="AC138" s="377">
        <v>1</v>
      </c>
      <c r="AG138" s="1093" t="s">
        <v>2152</v>
      </c>
      <c r="AH138" s="1094"/>
      <c r="AI138" s="1094"/>
      <c r="AJ138" s="1094"/>
      <c r="AK138" s="1094"/>
      <c r="AL138" s="1094"/>
      <c r="AM138" s="1094"/>
      <c r="AN138" s="1095"/>
      <c r="BI138" s="429">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7">
        <v>3</v>
      </c>
      <c r="Z139" s="377">
        <v>1</v>
      </c>
      <c r="AA139" s="377">
        <v>1</v>
      </c>
      <c r="AB139" s="377">
        <v>3</v>
      </c>
      <c r="AC139" s="377">
        <v>1</v>
      </c>
      <c r="AG139" s="379" t="s">
        <v>1705</v>
      </c>
      <c r="AN139" s="63"/>
      <c r="BI139" s="430">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7">
        <v>3</v>
      </c>
      <c r="Z140" s="377">
        <v>1</v>
      </c>
      <c r="AA140" s="377">
        <v>1</v>
      </c>
      <c r="AB140" s="377">
        <v>3</v>
      </c>
      <c r="AC140" s="377">
        <v>1</v>
      </c>
      <c r="AG140" s="232" t="s">
        <v>1688</v>
      </c>
      <c r="AH140" s="88">
        <v>2020</v>
      </c>
      <c r="AI140" s="88">
        <v>2025</v>
      </c>
      <c r="AJ140" s="88">
        <v>2030</v>
      </c>
      <c r="AK140" s="88">
        <v>2035</v>
      </c>
      <c r="AL140" s="88">
        <v>2040</v>
      </c>
      <c r="AM140" s="88">
        <v>2045</v>
      </c>
      <c r="AN140" s="378">
        <v>2050</v>
      </c>
      <c r="BI140" s="379"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7">
        <v>3</v>
      </c>
      <c r="Z141" s="377">
        <v>1</v>
      </c>
      <c r="AA141" s="377">
        <v>1</v>
      </c>
      <c r="AB141" s="377">
        <v>3</v>
      </c>
      <c r="AC141" s="377">
        <v>1</v>
      </c>
      <c r="AG141" s="64" t="s">
        <v>1690</v>
      </c>
      <c r="AH141" s="412">
        <f>AJ135*USD2005_to_CAD2020/('Background Data'!$V$37*$AH$94)</f>
        <v>0.20745512991115983</v>
      </c>
      <c r="AI141" s="412">
        <f>($AV139-$AS139)/3 + AH141</f>
        <v>0.20745512991115983</v>
      </c>
      <c r="AJ141" s="412">
        <f>($AV139-$AS139)/3 + AI141</f>
        <v>0.20745512991115983</v>
      </c>
      <c r="AK141" s="412">
        <f>AK135*USD2005_to_CAD2020/('Background Data'!$V$37*$AH$94)</f>
        <v>0.20745512991115983</v>
      </c>
      <c r="AL141" s="412">
        <f>($AV139-$AY139)/3 + AK141</f>
        <v>0.20745512991115983</v>
      </c>
      <c r="AM141" s="412">
        <f>($AV139-$AY139)/3 + AL141</f>
        <v>0.20745512991115983</v>
      </c>
      <c r="AN141" s="413">
        <f>AL135*USD2005_to_CAD2020/('Background Data'!$V$37*$AH$94)</f>
        <v>0.20745512991115983</v>
      </c>
      <c r="BI141" s="429">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7">
        <v>3</v>
      </c>
      <c r="Z142" s="377">
        <v>1</v>
      </c>
      <c r="AA142" s="377">
        <v>1</v>
      </c>
      <c r="AB142" s="377">
        <v>3</v>
      </c>
      <c r="AC142" s="377">
        <v>1</v>
      </c>
      <c r="AG142" s="64" t="s">
        <v>247</v>
      </c>
      <c r="AH142" s="412">
        <f>AJ136*USD2005_to_CAD2020/('Background Data'!$V$37*$AH$94)</f>
        <v>0.16596410392892788</v>
      </c>
      <c r="AI142" s="412">
        <f>($AV140-$AS140)/3 + AH142</f>
        <v>0.16596410392892788</v>
      </c>
      <c r="AJ142" s="412">
        <f>($AV140-$AS140)/3 + AI142</f>
        <v>0.16596410392892788</v>
      </c>
      <c r="AK142" s="412">
        <f>AK136*USD2005_to_CAD2020/('Background Data'!$V$37*$AH$94)</f>
        <v>0.16596410392892788</v>
      </c>
      <c r="AL142" s="412">
        <f>($AV140-$AY140)/3 + AK142</f>
        <v>0.16596410392892788</v>
      </c>
      <c r="AM142" s="412">
        <f>($AV140-$AY140)/3 + AL142</f>
        <v>0.16596410392892788</v>
      </c>
      <c r="AN142" s="413">
        <f>AL136*USD2005_to_CAD2020/('Background Data'!$V$37*$AH$94)</f>
        <v>0.16596410392892788</v>
      </c>
      <c r="BI142" s="429">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7">
        <v>3</v>
      </c>
      <c r="Z143" s="377">
        <v>1</v>
      </c>
      <c r="AA143" s="377">
        <v>1</v>
      </c>
      <c r="AB143" s="377">
        <v>3</v>
      </c>
      <c r="AC143" s="377">
        <v>1</v>
      </c>
      <c r="AG143" s="392" t="s">
        <v>1704</v>
      </c>
      <c r="AH143" s="68"/>
      <c r="AI143" s="68"/>
      <c r="AJ143" s="68"/>
      <c r="AK143" s="68"/>
      <c r="AL143" s="68"/>
      <c r="AM143" s="68"/>
      <c r="AN143" s="296"/>
      <c r="BI143" s="429">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7">
        <v>3</v>
      </c>
      <c r="Z144" s="377">
        <v>1</v>
      </c>
      <c r="AA144" s="377">
        <v>1</v>
      </c>
      <c r="AB144" s="377">
        <v>3</v>
      </c>
      <c r="AC144" s="377">
        <v>1</v>
      </c>
      <c r="BI144" s="429">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7">
        <v>3</v>
      </c>
      <c r="Z145" s="377">
        <v>1</v>
      </c>
      <c r="AA145" s="377">
        <v>1</v>
      </c>
      <c r="AB145" s="377">
        <v>3</v>
      </c>
      <c r="AC145" s="377">
        <v>1</v>
      </c>
      <c r="AG145" s="1093" t="s">
        <v>2875</v>
      </c>
      <c r="AH145" s="1094"/>
      <c r="AI145" s="1094"/>
      <c r="AJ145" s="1094"/>
      <c r="AK145" s="1094"/>
      <c r="AL145" s="1094"/>
      <c r="AM145" s="1094"/>
      <c r="AN145" s="1094"/>
      <c r="AO145" s="1094"/>
      <c r="AP145" s="1094"/>
      <c r="AQ145" s="1094"/>
      <c r="AR145" s="1094"/>
      <c r="AS145" s="1094"/>
      <c r="AT145" s="1094"/>
      <c r="AU145" s="1094"/>
      <c r="AV145" s="1095"/>
      <c r="BI145" s="379"/>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7">
        <v>3</v>
      </c>
      <c r="Z146" s="377">
        <v>1</v>
      </c>
      <c r="AA146" s="377">
        <v>1</v>
      </c>
      <c r="AB146" s="377">
        <v>3</v>
      </c>
      <c r="AC146" s="377">
        <v>1</v>
      </c>
      <c r="AG146" s="764" t="s">
        <v>2836</v>
      </c>
      <c r="AL146" s="765" t="s">
        <v>2876</v>
      </c>
      <c r="AR146" s="765" t="s">
        <v>2870</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7">
        <v>3</v>
      </c>
      <c r="Z147" s="377">
        <v>1</v>
      </c>
      <c r="AA147" s="377">
        <v>1</v>
      </c>
      <c r="AB147" s="377">
        <v>3</v>
      </c>
      <c r="AC147" s="377">
        <v>1</v>
      </c>
      <c r="AG147" s="232" t="s">
        <v>225</v>
      </c>
      <c r="AH147" s="88">
        <v>2019</v>
      </c>
      <c r="AI147" s="88">
        <v>2022</v>
      </c>
      <c r="AJ147" s="83" t="s">
        <v>2859</v>
      </c>
      <c r="AL147" s="88" t="s">
        <v>225</v>
      </c>
      <c r="AM147" s="88">
        <v>2019</v>
      </c>
      <c r="AN147" s="88">
        <v>2022</v>
      </c>
      <c r="AO147" s="83" t="s">
        <v>2859</v>
      </c>
      <c r="AR147" s="88" t="s">
        <v>225</v>
      </c>
      <c r="AS147" s="88" t="s">
        <v>2873</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7">
        <v>3</v>
      </c>
      <c r="Z148" s="377">
        <v>1</v>
      </c>
      <c r="AA148" s="377">
        <v>1</v>
      </c>
      <c r="AB148" s="377">
        <v>3</v>
      </c>
      <c r="AC148" s="377">
        <v>1</v>
      </c>
      <c r="AG148" s="64" t="s">
        <v>227</v>
      </c>
      <c r="AH148" s="558">
        <f>'Fuel Prices'!$G$31/BOB_GJ_L</f>
        <v>19.976444087606264</v>
      </c>
      <c r="AI148" s="558">
        <f>'Fuel Prices'!$G$34/BOB_GJ_L</f>
        <v>31.864071324696166</v>
      </c>
      <c r="AJ148" s="558">
        <f>AVERAGE('Fuel Prices'!$G$24:$G$34)/BOB_GJ_L</f>
        <v>21.436253488309234</v>
      </c>
      <c r="AL148" t="s">
        <v>23</v>
      </c>
      <c r="AM148" s="558">
        <f>'Fuel Prices'!D31/ETH_GJ_L</f>
        <v>1.3699920156981809</v>
      </c>
      <c r="AN148" s="558">
        <f>'Fuel Prices'!D34/ETH_GJ_L</f>
        <v>1.4756037921244809</v>
      </c>
      <c r="AO148" s="785">
        <f>AVERAGE('Fuel Prices'!$D$24:$D$34)/ETH_GJ_L</f>
        <v>1.2925553436031099</v>
      </c>
      <c r="AR148" t="s">
        <v>241</v>
      </c>
      <c r="AS148" s="558">
        <f>2.37357142857143*(1/L_gal)*(1/GSL_PJ_ML)*USD2023_to_CAD2020</f>
        <v>21.413333185876628</v>
      </c>
      <c r="AT148" s="309" t="s">
        <v>2872</v>
      </c>
      <c r="AV148" s="63"/>
      <c r="BI148" s="379"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7">
        <v>3</v>
      </c>
      <c r="Z149" s="377">
        <v>1</v>
      </c>
      <c r="AA149" s="377">
        <v>1</v>
      </c>
      <c r="AB149" s="377">
        <v>3</v>
      </c>
      <c r="AC149" s="377">
        <v>1</v>
      </c>
      <c r="AG149" s="64" t="s">
        <v>23</v>
      </c>
      <c r="AH149" s="558">
        <f>'Fuel Prices'!$B$31/ETH_GJ_L</f>
        <v>20.992602168790121</v>
      </c>
      <c r="AI149" s="558">
        <f>'Fuel Prices'!$B$34/ETH_GJ_L</f>
        <v>35.52346817081542</v>
      </c>
      <c r="AJ149" s="785">
        <f>AVERAGE('Fuel Prices'!$B$24:$B$34)/ETH_GJ_L</f>
        <v>24.508777055669722</v>
      </c>
      <c r="AL149" t="s">
        <v>239</v>
      </c>
      <c r="AM149" s="558">
        <f>'Fuel Prices'!F47/BDSL_GJ_L</f>
        <v>0.90501269996066913</v>
      </c>
      <c r="AN149" s="558">
        <f>'Fuel Prices'!F50/BDSL_GJ_L</f>
        <v>0.97477952913631105</v>
      </c>
      <c r="AO149" s="785">
        <f>AVERAGE('Fuel Prices'!$F$40:$F$50)/BDSL_GJ_L</f>
        <v>0.85385826191599634</v>
      </c>
      <c r="AR149" t="s">
        <v>233</v>
      </c>
      <c r="AS149" s="558">
        <f>2.75535714285714*(1/L_gal)*(1/GSL_PJ_ML)*USD2023_to_CAD2020</f>
        <v>24.857638508732759</v>
      </c>
      <c r="AT149" s="216">
        <f>AS149/AS148</f>
        <v>1.1608486307553396</v>
      </c>
      <c r="AV149" s="63"/>
      <c r="BI149" s="431" t="s">
        <v>1588</v>
      </c>
      <c r="BJ149" s="432">
        <f>BK149</f>
        <v>1</v>
      </c>
      <c r="BK149" s="432">
        <f>'Background Data'!BJ142/'Background Data'!BJ136</f>
        <v>1</v>
      </c>
      <c r="BL149" s="432">
        <f>BK149</f>
        <v>1</v>
      </c>
      <c r="BM149" s="432">
        <f>BL149</f>
        <v>1</v>
      </c>
      <c r="BN149" s="432">
        <f>'Background Data'!BJ140/'Background Data'!BJ134</f>
        <v>1</v>
      </c>
      <c r="BO149" s="432">
        <f>BN149</f>
        <v>1</v>
      </c>
      <c r="BP149" s="432">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7">
        <v>3</v>
      </c>
      <c r="Z150" s="377">
        <v>1</v>
      </c>
      <c r="AA150" s="377">
        <v>1</v>
      </c>
      <c r="AB150" s="377">
        <v>3</v>
      </c>
      <c r="AC150" s="377">
        <v>1</v>
      </c>
      <c r="AG150" s="64" t="s">
        <v>2830</v>
      </c>
      <c r="AH150" s="558">
        <f>'Fuel Prices'!$C$47/DSL_PJ_ML</f>
        <v>18.694180370141009</v>
      </c>
      <c r="AI150" s="558">
        <f>'Fuel Prices'!$C$50/DSL_PJ_ML</f>
        <v>34.575130782010156</v>
      </c>
      <c r="AJ150" s="558">
        <f>AVERAGE('Fuel Prices'!$C$40:$C$50)/DSL_PJ_ML</f>
        <v>20.206919171761324</v>
      </c>
      <c r="AL150" t="s">
        <v>2831</v>
      </c>
      <c r="AM150" s="558">
        <f>'Fuel Prices'!F47/HDRD_GJ_L</f>
        <v>0.88524752201141454</v>
      </c>
      <c r="AN150" s="558">
        <f>'Fuel Prices'!F50/HDRD_GJ_L</f>
        <v>0.95349066671978688</v>
      </c>
      <c r="AO150" s="785">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7">
        <v>3</v>
      </c>
      <c r="Z151" s="377">
        <v>1</v>
      </c>
      <c r="AA151" s="377">
        <v>1</v>
      </c>
      <c r="AB151" s="377">
        <v>3</v>
      </c>
      <c r="AC151" s="377">
        <v>1</v>
      </c>
      <c r="AG151" s="64" t="s">
        <v>239</v>
      </c>
      <c r="AH151" s="558">
        <f>'Fuel Prices'!$D$47/BDSL_GJ_L</f>
        <v>17.4468870234397</v>
      </c>
      <c r="AI151" s="558">
        <f>'Fuel Prices'!$D$50/BDSL_GJ_L</f>
        <v>58.212692927792325</v>
      </c>
      <c r="AJ151" s="785">
        <f>AVERAGE('Fuel Prices'!$D$40:$D$50)/BDSL_GJ_L</f>
        <v>26.201389109105513</v>
      </c>
      <c r="AR151" s="765" t="s">
        <v>2864</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7">
        <v>3</v>
      </c>
      <c r="Z152" s="377">
        <v>1</v>
      </c>
      <c r="AA152" s="377">
        <v>1</v>
      </c>
      <c r="AB152" s="377">
        <v>3</v>
      </c>
      <c r="AC152" s="377">
        <v>1</v>
      </c>
      <c r="AG152" s="64" t="s">
        <v>2831</v>
      </c>
      <c r="AH152" s="558">
        <f>'Fuel Prices'!$E$47/HDRD_GJ_L</f>
        <v>42.279124147453189</v>
      </c>
      <c r="AI152" s="558">
        <f>'Fuel Prices'!$E$50/HDRD_GJ_L</f>
        <v>68.872414609132932</v>
      </c>
      <c r="AJ152" s="785">
        <f>AVERAGE('Fuel Prices'!$E$40:$E$50)/HDRD_GJ_L</f>
        <v>41.517967726916218</v>
      </c>
      <c r="AR152" s="88" t="s">
        <v>225</v>
      </c>
      <c r="AS152" s="88" t="s">
        <v>2871</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7">
        <v>3</v>
      </c>
      <c r="Z153" s="377">
        <v>1</v>
      </c>
      <c r="AA153" s="377">
        <v>1</v>
      </c>
      <c r="AB153" s="377">
        <v>3</v>
      </c>
      <c r="AC153" s="377">
        <v>1</v>
      </c>
      <c r="AG153" s="64"/>
      <c r="AR153" t="s">
        <v>2865</v>
      </c>
      <c r="AS153" s="785">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7">
        <v>3</v>
      </c>
      <c r="Z154" s="377">
        <v>1</v>
      </c>
      <c r="AA154" s="377">
        <v>1</v>
      </c>
      <c r="AB154" s="377">
        <v>3</v>
      </c>
      <c r="AC154" s="377">
        <v>1</v>
      </c>
      <c r="AG154" s="379" t="s">
        <v>2860</v>
      </c>
      <c r="AR154" t="s">
        <v>2866</v>
      </c>
      <c r="AS154" s="785">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7">
        <v>3</v>
      </c>
      <c r="Z155" s="377">
        <v>1</v>
      </c>
      <c r="AA155" s="377">
        <v>1</v>
      </c>
      <c r="AB155" s="377">
        <v>3</v>
      </c>
      <c r="AC155" s="377">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7">
        <v>3</v>
      </c>
      <c r="Z156" s="377">
        <v>1</v>
      </c>
      <c r="AA156" s="377">
        <v>1</v>
      </c>
      <c r="AB156" s="377">
        <v>3</v>
      </c>
      <c r="AC156" s="377">
        <v>1</v>
      </c>
      <c r="AG156" s="64" t="s">
        <v>108</v>
      </c>
      <c r="AH156" s="558">
        <f>'Fuel Prices'!B12*CAD2021_to_2020</f>
        <v>34.243463935886012</v>
      </c>
      <c r="AI156" s="558">
        <f>'Fuel Prices'!D12*CAD2021_to_2020</f>
        <v>35.692333036509346</v>
      </c>
      <c r="AJ156" s="558">
        <f>'Fuel Prices'!E12*CAD2021_to_2020</f>
        <v>35.757346393588598</v>
      </c>
      <c r="AK156" s="558">
        <f>'Fuel Prices'!H12*CAD2021_to_2020</f>
        <v>35.859510240427426</v>
      </c>
      <c r="AL156" s="558">
        <f>'Fuel Prices'!I12*CAD2021_to_2020</f>
        <v>37.364105075690112</v>
      </c>
      <c r="AM156" s="558">
        <f>'Fuel Prices'!J12*CAD2021_to_2020</f>
        <v>38.125690115761351</v>
      </c>
      <c r="AN156" s="558">
        <f>'Fuel Prices'!K12*CAD2021_to_2020</f>
        <v>38.812974176313446</v>
      </c>
      <c r="AO156" s="558">
        <f>'Fuel Prices'!L12*CAD2021_to_2020</f>
        <v>39.555983971504901</v>
      </c>
      <c r="AP156" s="558">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7">
        <v>3</v>
      </c>
      <c r="Z157" s="377">
        <v>1</v>
      </c>
      <c r="AA157" s="377">
        <v>1</v>
      </c>
      <c r="AB157" s="377">
        <v>3</v>
      </c>
      <c r="AC157" s="377">
        <v>1</v>
      </c>
      <c r="AG157" s="64" t="s">
        <v>107</v>
      </c>
      <c r="AH157" s="558">
        <f>'Fuel Prices'!B13*CAD2021_to_2020</f>
        <v>31.494327693677644</v>
      </c>
      <c r="AI157" s="558">
        <f>'Fuel Prices'!D13*CAD2021_to_2020</f>
        <v>33.054648263579701</v>
      </c>
      <c r="AJ157" s="558">
        <f>'Fuel Prices'!E13*CAD2021_to_2020</f>
        <v>33.203250222617989</v>
      </c>
      <c r="AK157" s="558">
        <f>'Fuel Prices'!H13*CAD2021_to_2020</f>
        <v>33.481878895814781</v>
      </c>
      <c r="AL157" s="558">
        <f>'Fuel Prices'!I13*CAD2021_to_2020</f>
        <v>35.005048975957251</v>
      </c>
      <c r="AM157" s="558">
        <f>'Fuel Prices'!J13*CAD2021_to_2020</f>
        <v>35.320828138913626</v>
      </c>
      <c r="AN157" s="558">
        <f>'Fuel Prices'!K13*CAD2021_to_2020</f>
        <v>35.135075690115755</v>
      </c>
      <c r="AO157" s="558">
        <f>'Fuel Prices'!L13*CAD2021_to_2020</f>
        <v>34.754283170080143</v>
      </c>
      <c r="AP157" s="558">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7">
        <v>3</v>
      </c>
      <c r="Z158" s="377">
        <v>1</v>
      </c>
      <c r="AA158" s="377">
        <v>1</v>
      </c>
      <c r="AB158" s="377">
        <v>3</v>
      </c>
      <c r="AC158" s="377">
        <v>1</v>
      </c>
      <c r="AG158" s="64" t="s">
        <v>2861</v>
      </c>
      <c r="AH158" s="558">
        <f>'Fuel Prices'!B17*CAD2021_to_2020</f>
        <v>4.9410151380231522</v>
      </c>
      <c r="AI158" s="558">
        <f>'Fuel Prices'!D17*CAD2021_to_2020</f>
        <v>6.5384861976847723</v>
      </c>
      <c r="AJ158" s="558">
        <f>'Fuel Prices'!E17*CAD2021_to_2020</f>
        <v>6.7521015138023142</v>
      </c>
      <c r="AK158" s="558">
        <f>'Fuel Prices'!H17*CAD2021_to_2020</f>
        <v>8.4331611754229741</v>
      </c>
      <c r="AL158" s="558">
        <f>'Fuel Prices'!I17*CAD2021_to_2020</f>
        <v>10.810792520035619</v>
      </c>
      <c r="AM158" s="558">
        <f>'Fuel Prices'!J17*CAD2021_to_2020</f>
        <v>12.742617987533393</v>
      </c>
      <c r="AN158" s="558">
        <f>'Fuel Prices'!K17*CAD2021_to_2020</f>
        <v>14.321513802315227</v>
      </c>
      <c r="AO158" s="558">
        <f>'Fuel Prices'!L17*CAD2021_to_2020</f>
        <v>15.566055209260909</v>
      </c>
      <c r="AP158" s="558">
        <f>'Fuel Prices'!M17*CAD2021_to_2020</f>
        <v>16.411228851291185</v>
      </c>
      <c r="AV158" s="63"/>
    </row>
    <row r="159" spans="1:69" x14ac:dyDescent="0.25">
      <c r="A159" t="s">
        <v>4390</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7">
        <v>3</v>
      </c>
      <c r="Z159" s="377">
        <v>1</v>
      </c>
      <c r="AA159" s="377">
        <v>1</v>
      </c>
      <c r="AB159" s="377">
        <v>3</v>
      </c>
      <c r="AC159" s="377">
        <v>1</v>
      </c>
      <c r="AG159" s="107" t="s">
        <v>2863</v>
      </c>
      <c r="AI159" s="206"/>
      <c r="AV159" s="63"/>
    </row>
    <row r="160" spans="1:69" x14ac:dyDescent="0.25">
      <c r="A160" t="s">
        <v>4390</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7">
        <v>3</v>
      </c>
      <c r="Z160" s="377">
        <v>1</v>
      </c>
      <c r="AA160" s="377">
        <v>1</v>
      </c>
      <c r="AB160" s="377">
        <v>3</v>
      </c>
      <c r="AC160" s="377">
        <v>1</v>
      </c>
      <c r="AG160" s="64"/>
      <c r="AV160" s="63"/>
    </row>
    <row r="161" spans="1:51" x14ac:dyDescent="0.25">
      <c r="A161" t="s">
        <v>4390</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7">
        <v>3</v>
      </c>
      <c r="Z161" s="377">
        <v>1</v>
      </c>
      <c r="AA161" s="377">
        <v>1</v>
      </c>
      <c r="AB161" s="377">
        <v>3</v>
      </c>
      <c r="AC161" s="377">
        <v>1</v>
      </c>
      <c r="AG161" s="379" t="s">
        <v>2973</v>
      </c>
      <c r="AV161" s="63"/>
    </row>
    <row r="162" spans="1:51" ht="15.75" thickBot="1" x14ac:dyDescent="0.3">
      <c r="A162" t="s">
        <v>4390</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7">
        <v>3</v>
      </c>
      <c r="Z162" s="377">
        <v>1</v>
      </c>
      <c r="AA162" s="377">
        <v>1</v>
      </c>
      <c r="AB162" s="377">
        <v>3</v>
      </c>
      <c r="AC162" s="377">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4390</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7">
        <v>3</v>
      </c>
      <c r="Z163" s="377">
        <v>1</v>
      </c>
      <c r="AA163" s="377">
        <v>1</v>
      </c>
      <c r="AB163" s="377">
        <v>3</v>
      </c>
      <c r="AC163" s="377">
        <v>1</v>
      </c>
      <c r="AG163" s="64" t="s">
        <v>108</v>
      </c>
      <c r="AH163" s="558">
        <f>'Fuel Prices'!B3*CAD2022_to_2020</f>
        <v>30.642977667493792</v>
      </c>
      <c r="AI163" s="785">
        <f>'Fuel Prices'!D3*CAD2022_to_2020</f>
        <v>34.473349875930516</v>
      </c>
      <c r="AJ163" s="558">
        <f>'Fuel Prices'!E3*CAD2022_to_2020</f>
        <v>42.65171215880892</v>
      </c>
      <c r="AK163" s="558">
        <f>'Fuel Prices'!H3*CAD2022_to_2020</f>
        <v>39.942845326716281</v>
      </c>
      <c r="AL163" s="558">
        <f>'Fuel Prices'!I3*CAD2022_to_2020</f>
        <v>42.556815550041343</v>
      </c>
      <c r="AM163" s="558">
        <f>'Fuel Prices'!J3*CAD2022_to_2020</f>
        <v>41.409429280397013</v>
      </c>
      <c r="AN163" s="558">
        <f>'Fuel Prices'!K3*CAD2022_to_2020</f>
        <v>40.796914805624475</v>
      </c>
      <c r="AO163" s="558">
        <f>'Fuel Prices'!L3*CAD2022_to_2020</f>
        <v>40.046368899917283</v>
      </c>
      <c r="AP163" s="558">
        <f>'Fuel Prices'!M3*CAD2022_to_2020</f>
        <v>39.028387096774189</v>
      </c>
      <c r="AV163" s="63"/>
    </row>
    <row r="164" spans="1:51" x14ac:dyDescent="0.25">
      <c r="A164" t="s">
        <v>4390</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7">
        <v>3</v>
      </c>
      <c r="Z164" s="377">
        <v>1</v>
      </c>
      <c r="AA164" s="377">
        <v>1</v>
      </c>
      <c r="AB164" s="377">
        <v>3</v>
      </c>
      <c r="AC164" s="377">
        <v>1</v>
      </c>
      <c r="AG164" s="64" t="s">
        <v>107</v>
      </c>
      <c r="AH164" s="558">
        <f>'Fuel Prices'!B4*CAD2022_to_2020</f>
        <v>28.977973531844498</v>
      </c>
      <c r="AI164" s="785">
        <f>'Fuel Prices'!D4*CAD2022_to_2020</f>
        <v>31.117460711331674</v>
      </c>
      <c r="AJ164" s="558">
        <f>'Fuel Prices'!E4*CAD2022_to_2020</f>
        <v>39.235434243176165</v>
      </c>
      <c r="AK164" s="558">
        <f>'Fuel Prices'!H4*CAD2022_to_2020</f>
        <v>36.535194375516951</v>
      </c>
      <c r="AL164" s="558">
        <f>'Fuel Prices'!I4*CAD2022_to_2020</f>
        <v>39.235434243176165</v>
      </c>
      <c r="AM164" s="558">
        <f>'Fuel Prices'!J4*CAD2022_to_2020</f>
        <v>38.079421009098418</v>
      </c>
      <c r="AN164" s="558">
        <f>'Fuel Prices'!K4*CAD2022_to_2020</f>
        <v>37.372009925558302</v>
      </c>
      <c r="AO164" s="558">
        <f>'Fuel Prices'!L4*CAD2022_to_2020</f>
        <v>36.561075268817198</v>
      </c>
      <c r="AP164" s="558">
        <f>'Fuel Prices'!M4*CAD2022_to_2020</f>
        <v>35.543093465674104</v>
      </c>
      <c r="AV164" s="63"/>
    </row>
    <row r="165" spans="1:51" x14ac:dyDescent="0.25">
      <c r="A165" t="s">
        <v>4390</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7">
        <v>3</v>
      </c>
      <c r="Z165" s="377">
        <v>1</v>
      </c>
      <c r="AA165" s="377">
        <v>1</v>
      </c>
      <c r="AB165" s="377">
        <v>3</v>
      </c>
      <c r="AC165" s="377">
        <v>1</v>
      </c>
      <c r="AG165" s="64" t="s">
        <v>2861</v>
      </c>
      <c r="AH165" s="558">
        <f>'Fuel Prices'!B8*CAD2022_to_2020</f>
        <v>4.8483540115798167</v>
      </c>
      <c r="AI165" s="564">
        <f>'Fuel Prices'!D8*CAD2022_to_2020</f>
        <v>5.7800661703887499</v>
      </c>
      <c r="AJ165" s="785">
        <f>'Fuel Prices'!E8*CAD2022_to_2020</f>
        <v>9.7657237386269617</v>
      </c>
      <c r="AK165" s="558">
        <f>'Fuel Prices'!H8*CAD2022_to_2020</f>
        <v>9.981397849462363</v>
      </c>
      <c r="AL165" s="558">
        <f>'Fuel Prices'!I8*CAD2022_to_2020</f>
        <v>12.785161290322579</v>
      </c>
      <c r="AM165" s="558">
        <f>'Fuel Prices'!J8*CAD2022_to_2020</f>
        <v>12.198527708850287</v>
      </c>
      <c r="AN165" s="558">
        <f>'Fuel Prices'!K8*CAD2022_to_2020</f>
        <v>11.844822167080229</v>
      </c>
      <c r="AO165" s="558">
        <f>'Fuel Prices'!L8*CAD2022_to_2020</f>
        <v>11.44798180314309</v>
      </c>
      <c r="AP165" s="558">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7">
        <v>3</v>
      </c>
      <c r="Z166" s="377">
        <v>1</v>
      </c>
      <c r="AA166" s="377">
        <v>1</v>
      </c>
      <c r="AB166" s="377">
        <v>3</v>
      </c>
      <c r="AC166" s="377">
        <v>1</v>
      </c>
      <c r="AG166" s="107" t="s">
        <v>2863</v>
      </c>
      <c r="AJ166">
        <f>AJ165/AI165 - 1</f>
        <v>0.68955223880597005</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7">
        <v>3</v>
      </c>
      <c r="Z167" s="377">
        <v>1</v>
      </c>
      <c r="AA167" s="377">
        <v>1</v>
      </c>
      <c r="AB167" s="377">
        <v>3</v>
      </c>
      <c r="AC167" s="377">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7">
        <v>3</v>
      </c>
      <c r="Z168" s="377">
        <v>1</v>
      </c>
      <c r="AA168" s="377">
        <v>1</v>
      </c>
      <c r="AB168" s="377">
        <v>3</v>
      </c>
      <c r="AC168" s="377">
        <v>1</v>
      </c>
      <c r="AG168" s="379" t="s">
        <v>2969</v>
      </c>
      <c r="AP168" s="28" t="s">
        <v>2874</v>
      </c>
      <c r="AV168" s="63"/>
      <c r="AX168" s="61" t="s">
        <v>2983</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7">
        <v>3</v>
      </c>
      <c r="Z169" s="377">
        <v>1</v>
      </c>
      <c r="AA169" s="377">
        <v>1</v>
      </c>
      <c r="AB169" s="377">
        <v>3</v>
      </c>
      <c r="AC169" s="377">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8">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7">
        <v>3</v>
      </c>
      <c r="Z170" s="377">
        <v>1</v>
      </c>
      <c r="AA170" s="377">
        <v>1</v>
      </c>
      <c r="AB170" s="377">
        <v>3</v>
      </c>
      <c r="AC170" s="377">
        <v>1</v>
      </c>
      <c r="AG170" s="64" t="s">
        <v>25</v>
      </c>
      <c r="AH170" s="558">
        <f>INDEX('Fuel Prices'!$D$75:$J$81, MATCH($AG170,'Fuel Prices'!$A$75:$A$81, 0), MATCH(AH$169, 'Fuel Prices'!$D$54:$J$54, 0))/MJ_MMBtu*1000*USD2022_to_CAD2020</f>
        <v>27.359328925444572</v>
      </c>
      <c r="AI170" s="558">
        <f>INDEX('Fuel Prices'!$D$75:$J$81, MATCH($AG170,'Fuel Prices'!$A$75:$A$81, 0), MATCH(AI$169, 'Fuel Prices'!$D$54:$J$54, 0))/MJ_MMBtu*1000*USD2022_to_CAD2020</f>
        <v>22.171872361716954</v>
      </c>
      <c r="AJ170" s="558">
        <f>INDEX('Fuel Prices'!$D$75:$J$81, MATCH($AG170,'Fuel Prices'!$A$75:$A$81, 0), MATCH(AJ$169, 'Fuel Prices'!$D$54:$J$54, 0))/MJ_MMBtu*1000*USD2022_to_CAD2020</f>
        <v>21.156517015135272</v>
      </c>
      <c r="AK170" s="558">
        <f>INDEX('Fuel Prices'!$D$75:$J$81, MATCH($AG170,'Fuel Prices'!$A$75:$A$81, 0), MATCH(AK$169, 'Fuel Prices'!$D$54:$J$54, 0))/MJ_MMBtu*1000*USD2022_to_CAD2020</f>
        <v>23.072335323400228</v>
      </c>
      <c r="AL170" s="558">
        <f>INDEX('Fuel Prices'!$D$75:$J$81, MATCH($AG170,'Fuel Prices'!$A$75:$A$81, 0), MATCH(AL$169, 'Fuel Prices'!$D$54:$J$54, 0))/MJ_MMBtu*1000*USD2022_to_CAD2020</f>
        <v>23.962553660007764</v>
      </c>
      <c r="AM170" s="558">
        <f>INDEX('Fuel Prices'!$D$75:$J$81, MATCH($AG170,'Fuel Prices'!$A$75:$A$81, 0), MATCH(AM$169, 'Fuel Prices'!$D$54:$J$54, 0))/MJ_MMBtu*1000*USD2022_to_CAD2020</f>
        <v>24.253129447651148</v>
      </c>
      <c r="AN170" s="558">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7">
        <v>3</v>
      </c>
      <c r="Z171" s="377">
        <v>1</v>
      </c>
      <c r="AA171" s="377">
        <v>1</v>
      </c>
      <c r="AB171" s="377">
        <v>3</v>
      </c>
      <c r="AC171" s="377">
        <v>1</v>
      </c>
      <c r="AG171" s="64" t="s">
        <v>240</v>
      </c>
      <c r="AH171" s="558">
        <f>INDEX('Fuel Prices'!$D$75:$J$81, MATCH($AG171,'Fuel Prices'!$A$75:$A$81, 0), MATCH(AH$169, 'Fuel Prices'!$D$54:$J$54, 0))/MJ_MMBtu*1000*USD2022_to_CAD2020</f>
        <v>40.106914457967278</v>
      </c>
      <c r="AI171" s="558">
        <f>INDEX('Fuel Prices'!$D$75:$J$81, MATCH($AG171,'Fuel Prices'!$A$75:$A$81, 0), MATCH(AI$169, 'Fuel Prices'!$D$54:$J$54, 0))/MJ_MMBtu*1000*USD2022_to_CAD2020</f>
        <v>32.398599136822639</v>
      </c>
      <c r="AJ171" s="558">
        <f>INDEX('Fuel Prices'!$D$75:$J$81, MATCH($AG171,'Fuel Prices'!$A$75:$A$81, 0), MATCH(AJ$169, 'Fuel Prices'!$D$54:$J$54, 0))/MJ_MMBtu*1000*USD2022_to_CAD2020</f>
        <v>32.11240508641044</v>
      </c>
      <c r="AK171" s="558">
        <f>INDEX('Fuel Prices'!$D$75:$J$81, MATCH($AG171,'Fuel Prices'!$A$75:$A$81, 0), MATCH(AK$169, 'Fuel Prices'!$D$54:$J$54, 0))/MJ_MMBtu*1000*USD2022_to_CAD2020</f>
        <v>32.565045565088745</v>
      </c>
      <c r="AL171" s="558">
        <f>INDEX('Fuel Prices'!$D$75:$J$81, MATCH($AG171,'Fuel Prices'!$A$75:$A$81, 0), MATCH(AL$169, 'Fuel Prices'!$D$54:$J$54, 0))/MJ_MMBtu*1000*USD2022_to_CAD2020</f>
        <v>33.345408705737263</v>
      </c>
      <c r="AM171" s="558">
        <f>INDEX('Fuel Prices'!$D$75:$J$81, MATCH($AG171,'Fuel Prices'!$A$75:$A$81, 0), MATCH(AM$169, 'Fuel Prices'!$D$54:$J$54, 0))/MJ_MMBtu*1000*USD2022_to_CAD2020</f>
        <v>33.565224438108409</v>
      </c>
      <c r="AN171" s="558">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7">
        <v>3</v>
      </c>
      <c r="Z172" s="377">
        <v>1</v>
      </c>
      <c r="AA172" s="377">
        <v>1</v>
      </c>
      <c r="AB172" s="377">
        <v>3</v>
      </c>
      <c r="AC172" s="377">
        <v>1</v>
      </c>
      <c r="AG172" s="64" t="s">
        <v>21</v>
      </c>
      <c r="AH172" s="558">
        <f>INDEX('Fuel Prices'!$D$75:$J$81, MATCH($AG172,'Fuel Prices'!$A$75:$A$81, 0), MATCH(AH$169, 'Fuel Prices'!$D$54:$J$54, 0))/MJ_MMBtu*1000*USD2022_to_CAD2020</f>
        <v>36.792295169547714</v>
      </c>
      <c r="AI172" s="558">
        <f>INDEX('Fuel Prices'!$D$75:$J$81, MATCH($AG172,'Fuel Prices'!$A$75:$A$81, 0), MATCH(AI$169, 'Fuel Prices'!$D$54:$J$54, 0))/MJ_MMBtu*1000*USD2022_to_CAD2020</f>
        <v>26.99311975651662</v>
      </c>
      <c r="AJ172" s="558">
        <f>INDEX('Fuel Prices'!$D$75:$J$81, MATCH($AG172,'Fuel Prices'!$A$75:$A$81, 0), MATCH(AJ$169, 'Fuel Prices'!$D$54:$J$54, 0))/MJ_MMBtu*1000*USD2022_to_CAD2020</f>
        <v>26.754678980800481</v>
      </c>
      <c r="AK172" s="558">
        <f>INDEX('Fuel Prices'!$D$75:$J$81, MATCH($AG172,'Fuel Prices'!$A$75:$A$81, 0), MATCH(AK$169, 'Fuel Prices'!$D$54:$J$54, 0))/MJ_MMBtu*1000*USD2022_to_CAD2020</f>
        <v>27.131797802917205</v>
      </c>
      <c r="AL172" s="558">
        <f>INDEX('Fuel Prices'!$D$75:$J$81, MATCH($AG172,'Fuel Prices'!$A$75:$A$81, 0), MATCH(AL$169, 'Fuel Prices'!$D$54:$J$54, 0))/MJ_MMBtu*1000*USD2022_to_CAD2020</f>
        <v>27.781963335662599</v>
      </c>
      <c r="AM172" s="558">
        <f>INDEX('Fuel Prices'!$D$75:$J$81, MATCH($AG172,'Fuel Prices'!$A$75:$A$81, 0), MATCH(AM$169, 'Fuel Prices'!$D$54:$J$54, 0))/MJ_MMBtu*1000*USD2022_to_CAD2020</f>
        <v>27.965105693723398</v>
      </c>
      <c r="AN172" s="558">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4395</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7">
        <v>3</v>
      </c>
      <c r="Z173" s="377">
        <v>1</v>
      </c>
      <c r="AA173" s="377">
        <v>1</v>
      </c>
      <c r="AB173" s="377">
        <v>3</v>
      </c>
      <c r="AC173" s="377">
        <v>1</v>
      </c>
      <c r="AG173" s="64" t="s">
        <v>2821</v>
      </c>
      <c r="AH173" s="558">
        <f>INDEX('Fuel Prices'!$D$75:$J$81, MATCH($AG173,'Fuel Prices'!$A$75:$A$81, 0), MATCH(AH$169, 'Fuel Prices'!$D$54:$J$54, 0))/MJ_MMBtu*1000*USD2022_to_CAD2020</f>
        <v>28.055899587895276</v>
      </c>
      <c r="AI173" s="558">
        <f>INDEX('Fuel Prices'!$D$75:$J$81, MATCH($AG173,'Fuel Prices'!$A$75:$A$81, 0), MATCH(AI$169, 'Fuel Prices'!$D$54:$J$54, 0))/MJ_MMBtu*1000*USD2022_to_CAD2020</f>
        <v>21.098008373772675</v>
      </c>
      <c r="AJ173" s="558">
        <f>INDEX('Fuel Prices'!$D$75:$J$81, MATCH($AG173,'Fuel Prices'!$A$75:$A$81, 0), MATCH(AJ$169, 'Fuel Prices'!$D$54:$J$54, 0))/MJ_MMBtu*1000*USD2022_to_CAD2020</f>
        <v>20.730560656487</v>
      </c>
      <c r="AK173" s="558">
        <f>INDEX('Fuel Prices'!$D$75:$J$81, MATCH($AG173,'Fuel Prices'!$A$75:$A$81, 0), MATCH(AK$169, 'Fuel Prices'!$D$54:$J$54, 0))/MJ_MMBtu*1000*USD2022_to_CAD2020</f>
        <v>21.474932475657894</v>
      </c>
      <c r="AL173" s="558">
        <f>INDEX('Fuel Prices'!$D$75:$J$81, MATCH($AG173,'Fuel Prices'!$A$75:$A$81, 0), MATCH(AL$169, 'Fuel Prices'!$D$54:$J$54, 0))/MJ_MMBtu*1000*USD2022_to_CAD2020</f>
        <v>22.034670145704826</v>
      </c>
      <c r="AM173" s="558">
        <f>INDEX('Fuel Prices'!$D$75:$J$81, MATCH($AG173,'Fuel Prices'!$A$75:$A$81, 0), MATCH(AM$169, 'Fuel Prices'!$D$54:$J$54, 0))/MJ_MMBtu*1000*USD2022_to_CAD2020</f>
        <v>22.542080211682986</v>
      </c>
      <c r="AN173" s="558">
        <f>INDEX('Fuel Prices'!$D$75:$J$81, MATCH($AG173,'Fuel Prices'!$A$75:$A$81, 0), MATCH(AN$169, 'Fuel Prices'!$D$54:$J$54, 0))/MJ_MMBtu*1000*USD2022_to_CAD2020</f>
        <v>23.059780656671048</v>
      </c>
      <c r="AP173" t="s">
        <v>2821</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4395</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7">
        <v>3</v>
      </c>
      <c r="Z174" s="377">
        <v>1</v>
      </c>
      <c r="AA174" s="377">
        <v>1</v>
      </c>
      <c r="AB174" s="377">
        <v>3</v>
      </c>
      <c r="AC174" s="377">
        <v>1</v>
      </c>
      <c r="AG174" s="64" t="s">
        <v>2822</v>
      </c>
      <c r="AH174" s="558">
        <f>INDEX('Fuel Prices'!$D$75:$J$81, MATCH($AG174,'Fuel Prices'!$A$75:$A$81, 0), MATCH(AH$169, 'Fuel Prices'!$D$54:$J$54, 0))/MJ_MMBtu*1000*USD2022_to_CAD2020</f>
        <v>38.970472920653584</v>
      </c>
      <c r="AI174" s="558">
        <f>INDEX('Fuel Prices'!$D$75:$J$81, MATCH($AG174,'Fuel Prices'!$A$75:$A$81, 0), MATCH(AI$169, 'Fuel Prices'!$D$54:$J$54, 0))/MJ_MMBtu*1000*USD2022_to_CAD2020</f>
        <v>30.673488546432402</v>
      </c>
      <c r="AJ174" s="558">
        <f>INDEX('Fuel Prices'!$D$75:$J$81, MATCH($AG174,'Fuel Prices'!$A$75:$A$81, 0), MATCH(AJ$169, 'Fuel Prices'!$D$54:$J$54, 0))/MJ_MMBtu*1000*USD2022_to_CAD2020</f>
        <v>28.299976609875035</v>
      </c>
      <c r="AK174" s="558">
        <f>INDEX('Fuel Prices'!$D$75:$J$81, MATCH($AG174,'Fuel Prices'!$A$75:$A$81, 0), MATCH(AK$169, 'Fuel Prices'!$D$54:$J$54, 0))/MJ_MMBtu*1000*USD2022_to_CAD2020</f>
        <v>28.973593693998605</v>
      </c>
      <c r="AL174" s="558">
        <f>INDEX('Fuel Prices'!$D$75:$J$81, MATCH($AG174,'Fuel Prices'!$A$75:$A$81, 0), MATCH(AL$169, 'Fuel Prices'!$D$54:$J$54, 0))/MJ_MMBtu*1000*USD2022_to_CAD2020</f>
        <v>29.322820705032022</v>
      </c>
      <c r="AM174" s="558">
        <f>INDEX('Fuel Prices'!$D$75:$J$81, MATCH($AG174,'Fuel Prices'!$A$75:$A$81, 0), MATCH(AM$169, 'Fuel Prices'!$D$54:$J$54, 0))/MJ_MMBtu*1000*USD2022_to_CAD2020</f>
        <v>29.568471449538471</v>
      </c>
      <c r="AN174" s="558">
        <f>INDEX('Fuel Prices'!$D$75:$J$81, MATCH($AG174,'Fuel Prices'!$A$75:$A$81, 0), MATCH(AN$169, 'Fuel Prices'!$D$54:$J$54, 0))/MJ_MMBtu*1000*USD2022_to_CAD2020</f>
        <v>29.959597359783245</v>
      </c>
      <c r="AP174" t="s">
        <v>2822</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4395</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7">
        <v>3</v>
      </c>
      <c r="Z175" s="377">
        <v>1</v>
      </c>
      <c r="AA175" s="377">
        <v>1</v>
      </c>
      <c r="AB175" s="377">
        <v>3</v>
      </c>
      <c r="AC175" s="377">
        <v>1</v>
      </c>
      <c r="AG175" s="64" t="s">
        <v>2816</v>
      </c>
      <c r="AH175" s="785">
        <f>INDEX('Fuel Prices'!$D$75:$J$81, MATCH($AG175,'Fuel Prices'!$A$75:$A$81, 0), MATCH(AH$169, 'Fuel Prices'!$D$54:$J$54, 0))/MJ_MMBtu*1000*USD2022_to_CAD2020</f>
        <v>11.732612178089143</v>
      </c>
      <c r="AI175" s="785">
        <f>INDEX('Fuel Prices'!$D$75:$J$81, MATCH($AG175,'Fuel Prices'!$A$75:$A$81, 0), MATCH(AI$169, 'Fuel Prices'!$D$54:$J$54, 0))/MJ_MMBtu*1000*USD2022_to_CAD2020</f>
        <v>14.837368810888524</v>
      </c>
      <c r="AJ175" s="785">
        <f>INDEX('Fuel Prices'!$D$75:$J$81, MATCH($AG175,'Fuel Prices'!$A$75:$A$81, 0), MATCH(AJ$169, 'Fuel Prices'!$D$54:$J$54, 0))/MJ_MMBtu*1000*USD2022_to_CAD2020</f>
        <v>14.870364845745021</v>
      </c>
      <c r="AK175" s="785">
        <f>INDEX('Fuel Prices'!$D$75:$J$81, MATCH($AG175,'Fuel Prices'!$A$75:$A$81, 0), MATCH(AK$169, 'Fuel Prices'!$D$54:$J$54, 0))/MJ_MMBtu*1000*USD2022_to_CAD2020</f>
        <v>15.491231899942415</v>
      </c>
      <c r="AL175" s="785">
        <f>INDEX('Fuel Prices'!$D$75:$J$81, MATCH($AG175,'Fuel Prices'!$A$75:$A$81, 0), MATCH(AL$169, 'Fuel Prices'!$D$54:$J$54, 0))/MJ_MMBtu*1000*USD2022_to_CAD2020</f>
        <v>15.993541998327302</v>
      </c>
      <c r="AM175" s="785">
        <f>INDEX('Fuel Prices'!$D$75:$J$81, MATCH($AG175,'Fuel Prices'!$A$75:$A$81, 0), MATCH(AM$169, 'Fuel Prices'!$D$54:$J$54, 0))/MJ_MMBtu*1000*USD2022_to_CAD2020</f>
        <v>16.225168629986008</v>
      </c>
      <c r="AN175" s="785">
        <f>INDEX('Fuel Prices'!$D$75:$J$81, MATCH($AG175,'Fuel Prices'!$A$75:$A$81, 0), MATCH(AN$169, 'Fuel Prices'!$D$54:$J$54, 0))/MJ_MMBtu*1000*USD2022_to_CAD2020</f>
        <v>16.673981738868154</v>
      </c>
      <c r="AP175" t="s">
        <v>2816</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4395</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7">
        <v>3</v>
      </c>
      <c r="Z176" s="377">
        <v>1</v>
      </c>
      <c r="AA176" s="377">
        <v>1</v>
      </c>
      <c r="AB176" s="377">
        <v>3</v>
      </c>
      <c r="AC176" s="377">
        <v>1</v>
      </c>
      <c r="AG176" s="64" t="s">
        <v>20</v>
      </c>
      <c r="AH176" s="785">
        <f>INDEX('Fuel Prices'!$D$75:$J$81, MATCH($AG176,'Fuel Prices'!$A$75:$A$81, 0), MATCH(AH$169, 'Fuel Prices'!$D$54:$J$54, 0))/MJ_MMBtu*1000*USD2022_to_CAD2020</f>
        <v>20.379669479103523</v>
      </c>
      <c r="AI176" s="785">
        <f>INDEX('Fuel Prices'!$D$75:$J$81, MATCH($AG176,'Fuel Prices'!$A$75:$A$81, 0), MATCH(AI$169, 'Fuel Prices'!$D$54:$J$54, 0))/MJ_MMBtu*1000*USD2022_to_CAD2020</f>
        <v>16.899639078184229</v>
      </c>
      <c r="AJ176" s="785">
        <f>INDEX('Fuel Prices'!$D$75:$J$81, MATCH($AG176,'Fuel Prices'!$A$75:$A$81, 0), MATCH(AJ$169, 'Fuel Prices'!$D$54:$J$54, 0))/MJ_MMBtu*1000*USD2022_to_CAD2020</f>
        <v>14.98745980375382</v>
      </c>
      <c r="AK176" s="785">
        <f>INDEX('Fuel Prices'!$D$75:$J$81, MATCH($AG176,'Fuel Prices'!$A$75:$A$81, 0), MATCH(AK$169, 'Fuel Prices'!$D$54:$J$54, 0))/MJ_MMBtu*1000*USD2022_to_CAD2020</f>
        <v>13.9957677535015</v>
      </c>
      <c r="AL176" s="785">
        <f>INDEX('Fuel Prices'!$D$75:$J$81, MATCH($AG176,'Fuel Prices'!$A$75:$A$81, 0), MATCH(AL$169, 'Fuel Prices'!$D$54:$J$54, 0))/MJ_MMBtu*1000*USD2022_to_CAD2020</f>
        <v>12.994553564715456</v>
      </c>
      <c r="AM176" s="785">
        <f>INDEX('Fuel Prices'!$D$75:$J$81, MATCH($AG176,'Fuel Prices'!$A$75:$A$81, 0), MATCH(AM$169, 'Fuel Prices'!$D$54:$J$54, 0))/MJ_MMBtu*1000*USD2022_to_CAD2020</f>
        <v>12.067850189759177</v>
      </c>
      <c r="AN176" s="785">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4395</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7">
        <v>3</v>
      </c>
      <c r="Z177" s="377">
        <v>1</v>
      </c>
      <c r="AA177" s="377">
        <v>1</v>
      </c>
      <c r="AB177" s="377">
        <v>3</v>
      </c>
      <c r="AC177" s="377">
        <v>1</v>
      </c>
      <c r="AG177" s="64"/>
      <c r="AV177" s="63"/>
    </row>
    <row r="178" spans="1:51" x14ac:dyDescent="0.25">
      <c r="A178" t="s">
        <v>4395</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7">
        <v>3</v>
      </c>
      <c r="Z178" s="377">
        <v>1</v>
      </c>
      <c r="AA178" s="377">
        <v>1</v>
      </c>
      <c r="AB178" s="377">
        <v>3</v>
      </c>
      <c r="AC178" s="377">
        <v>1</v>
      </c>
      <c r="AG178" s="379" t="s">
        <v>2976</v>
      </c>
      <c r="AP178" s="28" t="s">
        <v>2977</v>
      </c>
      <c r="AV178" s="63"/>
    </row>
    <row r="179" spans="1:51" ht="15.75" thickBot="1" x14ac:dyDescent="0.3">
      <c r="A179" t="s">
        <v>4395</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7">
        <v>3</v>
      </c>
      <c r="Z179" s="377">
        <v>1</v>
      </c>
      <c r="AA179" s="377">
        <v>1</v>
      </c>
      <c r="AB179" s="377">
        <v>3</v>
      </c>
      <c r="AC179" s="377">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8">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7">
        <v>3</v>
      </c>
      <c r="Z180" s="377">
        <v>1</v>
      </c>
      <c r="AA180" s="377">
        <v>1</v>
      </c>
      <c r="AB180" s="377">
        <v>3</v>
      </c>
      <c r="AC180" s="377">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7">
        <v>3</v>
      </c>
      <c r="Z181" s="377">
        <v>1</v>
      </c>
      <c r="AA181" s="377">
        <v>1</v>
      </c>
      <c r="AB181" s="377">
        <v>3</v>
      </c>
      <c r="AC181" s="377">
        <v>1</v>
      </c>
      <c r="AG181" s="784" t="s">
        <v>2960</v>
      </c>
      <c r="AH181" s="564">
        <f>'Fuel Prices'!D98/(L_gal*DSL_PJ_ML) * USD2022_to_CAD2020</f>
        <v>3.869607902597072</v>
      </c>
      <c r="AI181" s="564">
        <f>'Fuel Prices'!E98/(L_gal*DSL_PJ_ML) * USD2022_to_CAD2020</f>
        <v>3.8698998638164572</v>
      </c>
      <c r="AJ181" s="564">
        <f>'Fuel Prices'!F98/(L_gal*DSL_PJ_ML) * USD2022_to_CAD2020</f>
        <v>3.8703915879754223</v>
      </c>
      <c r="AK181" s="564">
        <f>'Fuel Prices'!G98/(L_gal*DSL_PJ_ML) * USD2022_to_CAD2020</f>
        <v>3.8704991526351966</v>
      </c>
      <c r="AL181" s="564">
        <f>'Fuel Prices'!H98/(L_gal*DSL_PJ_ML) * USD2022_to_CAD2020</f>
        <v>3.8702993896956164</v>
      </c>
      <c r="AM181" s="564">
        <f>'Fuel Prices'!I98/(L_gal*DSL_PJ_ML) * USD2022_to_CAD2020</f>
        <v>3.8702532905557137</v>
      </c>
      <c r="AN181" s="564">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7">
        <v>3</v>
      </c>
      <c r="Z182" s="377">
        <v>1</v>
      </c>
      <c r="AA182" s="377">
        <v>1</v>
      </c>
      <c r="AB182" s="377">
        <v>3</v>
      </c>
      <c r="AC182" s="377">
        <v>1</v>
      </c>
      <c r="AG182" s="784" t="s">
        <v>2961</v>
      </c>
      <c r="AH182" s="564">
        <f>'Fuel Prices'!D99/(L_gal*DSL_PJ_ML) * USD2022_to_CAD2020</f>
        <v>29.820096846718705</v>
      </c>
      <c r="AI182" s="564">
        <f>'Fuel Prices'!E99/(L_gal*DSL_PJ_ML) * USD2022_to_CAD2020</f>
        <v>21.7365742487791</v>
      </c>
      <c r="AJ182" s="564">
        <f>'Fuel Prices'!F99/(L_gal*DSL_PJ_ML) * USD2022_to_CAD2020</f>
        <v>19.556069564987595</v>
      </c>
      <c r="AK182" s="564">
        <f>'Fuel Prices'!G99/(L_gal*DSL_PJ_ML) * USD2022_to_CAD2020</f>
        <v>20.392699805517051</v>
      </c>
      <c r="AL182" s="564">
        <f>'Fuel Prices'!H99/(L_gal*DSL_PJ_ML) * USD2022_to_CAD2020</f>
        <v>20.88125849020896</v>
      </c>
      <c r="AM182" s="564">
        <f>'Fuel Prices'!I99/(L_gal*DSL_PJ_ML) * USD2022_to_CAD2020</f>
        <v>21.255568139841291</v>
      </c>
      <c r="AN182" s="564">
        <f>'Fuel Prices'!J99/(L_gal*DSL_PJ_ML) * USD2022_to_CAD2020</f>
        <v>21.764133851251103</v>
      </c>
      <c r="AP182" t="s">
        <v>107</v>
      </c>
      <c r="AQ182" s="434">
        <f>(AI182+AI181)/($AH182+$AH181)</f>
        <v>0.7600682256829695</v>
      </c>
      <c r="AR182" s="434">
        <f t="shared" ref="AR182:AU182" si="60">(AJ182+AJ181)/($AH182+$AH181)</f>
        <v>0.6953596455439045</v>
      </c>
      <c r="AS182" s="434">
        <f t="shared" si="60"/>
        <v>0.72019624804355165</v>
      </c>
      <c r="AT182" s="434">
        <f t="shared" si="60"/>
        <v>0.73469203912828207</v>
      </c>
      <c r="AU182" s="434">
        <f t="shared" si="60"/>
        <v>0.74580117627499531</v>
      </c>
      <c r="AV182" s="438">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7">
        <v>3</v>
      </c>
      <c r="Z183" s="377">
        <v>1</v>
      </c>
      <c r="AA183" s="377">
        <v>1</v>
      </c>
      <c r="AB183" s="377">
        <v>3</v>
      </c>
      <c r="AC183" s="377">
        <v>1</v>
      </c>
      <c r="AG183" s="64" t="s">
        <v>108</v>
      </c>
      <c r="AH183" s="564"/>
      <c r="AI183" s="564"/>
      <c r="AJ183" s="564"/>
      <c r="AK183" s="564"/>
      <c r="AL183" s="564"/>
      <c r="AM183" s="564"/>
      <c r="AN183" s="564"/>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7">
        <v>3</v>
      </c>
      <c r="Z184" s="377">
        <v>1</v>
      </c>
      <c r="AA184" s="377">
        <v>1</v>
      </c>
      <c r="AB184" s="377">
        <v>3</v>
      </c>
      <c r="AC184" s="377">
        <v>1</v>
      </c>
      <c r="AG184" s="784" t="s">
        <v>2960</v>
      </c>
      <c r="AH184" s="564">
        <f>'Fuel Prices'!D105/(L_gal*DSL_PJ_ML) * USD2022_to_CAD2020</f>
        <v>2.516851691713716</v>
      </c>
      <c r="AI184" s="564">
        <f>'Fuel Prices'!E105/(L_gal*DSL_PJ_ML) * USD2022_to_CAD2020</f>
        <v>2.5150922412074181</v>
      </c>
      <c r="AJ184" s="564">
        <f>'Fuel Prices'!F105/(L_gal*DSL_PJ_ML) * USD2022_to_CAD2020</f>
        <v>2.512126529873659</v>
      </c>
      <c r="AK184" s="564">
        <f>'Fuel Prices'!G105/(L_gal*DSL_PJ_ML) * USD2022_to_CAD2020</f>
        <v>2.5091070362100134</v>
      </c>
      <c r="AL184" s="564">
        <f>'Fuel Prices'!H105/(L_gal*DSL_PJ_ML) * USD2022_to_CAD2020</f>
        <v>2.5065946330853</v>
      </c>
      <c r="AM184" s="564">
        <f>'Fuel Prices'!I105/(L_gal*DSL_PJ_ML) * USD2022_to_CAD2020</f>
        <v>2.504358824800005</v>
      </c>
      <c r="AN184" s="564">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7">
        <v>3</v>
      </c>
      <c r="Z185" s="377">
        <v>1</v>
      </c>
      <c r="AA185" s="377">
        <v>1</v>
      </c>
      <c r="AB185" s="377">
        <v>3</v>
      </c>
      <c r="AC185" s="377">
        <v>1</v>
      </c>
      <c r="AG185" s="784" t="s">
        <v>2961</v>
      </c>
      <c r="AH185" s="564">
        <f>'Fuel Prices'!D106/(L_gal*DSL_PJ_ML) * USD2022_to_CAD2020</f>
        <v>25.165681820033125</v>
      </c>
      <c r="AI185" s="564">
        <f>'Fuel Prices'!E106/(L_gal*DSL_PJ_ML) * USD2022_to_CAD2020</f>
        <v>16.811695568282662</v>
      </c>
      <c r="AJ185" s="564">
        <f>'Fuel Prices'!F106/(L_gal*DSL_PJ_ML) * USD2022_to_CAD2020</f>
        <v>16.707788106941315</v>
      </c>
      <c r="AK185" s="564">
        <f>'Fuel Prices'!G106/(L_gal*DSL_PJ_ML) * USD2022_to_CAD2020</f>
        <v>17.137178545567739</v>
      </c>
      <c r="AL185" s="564">
        <f>'Fuel Prices'!H106/(L_gal*DSL_PJ_ML) * USD2022_to_CAD2020</f>
        <v>17.784080092636444</v>
      </c>
      <c r="AM185" s="564">
        <f>'Fuel Prices'!I106/(L_gal*DSL_PJ_ML) * USD2022_to_CAD2020</f>
        <v>18.022550943354624</v>
      </c>
      <c r="AN185" s="564">
        <f>'Fuel Prices'!J106/(L_gal*DSL_PJ_ML) * USD2022_to_CAD2020</f>
        <v>18.958847524354347</v>
      </c>
      <c r="AP185" t="s">
        <v>108</v>
      </c>
      <c r="AQ185" s="434">
        <f>(AI185+AI184)/($AH185+$AH184)</f>
        <v>0.69815820149875119</v>
      </c>
      <c r="AR185" s="434">
        <f t="shared" ref="AR185" si="61">(AJ185+AJ184)/($AH185+$AH184)</f>
        <v>0.69429752983624748</v>
      </c>
      <c r="AS185" s="434">
        <f t="shared" ref="AS185" si="62">(AK185+AK184)/($AH185+$AH184)</f>
        <v>0.70969969469886218</v>
      </c>
      <c r="AT185" s="434">
        <f t="shared" ref="AT185" si="63">(AL185+AL184)/($AH185+$AH184)</f>
        <v>0.73297751873438799</v>
      </c>
      <c r="AU185" s="434">
        <f t="shared" ref="AU185" si="64">(AM185+AM184)/($AH185+$AH184)</f>
        <v>0.74151124063280605</v>
      </c>
      <c r="AV185" s="438">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7">
        <v>3</v>
      </c>
      <c r="Z186" s="377">
        <v>1</v>
      </c>
      <c r="AA186" s="377">
        <v>1</v>
      </c>
      <c r="AB186" s="377">
        <v>3</v>
      </c>
      <c r="AC186" s="377">
        <v>1</v>
      </c>
      <c r="AG186" s="64" t="s">
        <v>2821</v>
      </c>
      <c r="AH186" s="558"/>
      <c r="AI186" s="558"/>
      <c r="AJ186" s="558"/>
      <c r="AK186" s="558"/>
      <c r="AL186" s="558"/>
      <c r="AM186" s="558"/>
      <c r="AN186" s="558"/>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7">
        <v>3</v>
      </c>
      <c r="Z187" s="377">
        <v>1</v>
      </c>
      <c r="AA187" s="377">
        <v>1</v>
      </c>
      <c r="AB187" s="377">
        <v>3</v>
      </c>
      <c r="AC187" s="377">
        <v>1</v>
      </c>
      <c r="AG187" s="784" t="s">
        <v>2960</v>
      </c>
      <c r="AH187" s="785">
        <f>'Fuel Prices'!D112/(L_gal*DSL_PJ_ML) * USD2022_to_CAD2020</f>
        <v>0.27233835216691049</v>
      </c>
      <c r="AI187" s="785">
        <f>'Fuel Prices'!E112/(L_gal*DSL_PJ_ML) * USD2022_to_CAD2020</f>
        <v>0.27233835216691049</v>
      </c>
      <c r="AJ187" s="785">
        <f>'Fuel Prices'!F112/(L_gal*DSL_PJ_ML) * USD2022_to_CAD2020</f>
        <v>0.27233835216691049</v>
      </c>
      <c r="AK187" s="785">
        <f>'Fuel Prices'!G112/(L_gal*DSL_PJ_ML) * USD2022_to_CAD2020</f>
        <v>0.27233835216691049</v>
      </c>
      <c r="AL187" s="785">
        <f>'Fuel Prices'!H112/(L_gal*DSL_PJ_ML) * USD2022_to_CAD2020</f>
        <v>0.27233835216691049</v>
      </c>
      <c r="AM187" s="785">
        <f>'Fuel Prices'!I112/(L_gal*DSL_PJ_ML) * USD2022_to_CAD2020</f>
        <v>0.27233835216691049</v>
      </c>
      <c r="AN187" s="785">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7">
        <v>3</v>
      </c>
      <c r="Z188" s="377">
        <v>1</v>
      </c>
      <c r="AA188" s="377">
        <v>1</v>
      </c>
      <c r="AB188" s="377">
        <v>3</v>
      </c>
      <c r="AC188" s="377">
        <v>1</v>
      </c>
      <c r="AG188" s="784" t="s">
        <v>2961</v>
      </c>
      <c r="AH188" s="785">
        <f>'Fuel Prices'!D113/(L_gal*DSL_PJ_ML) * USD2022_to_CAD2020</f>
        <v>26.30612844209325</v>
      </c>
      <c r="AI188" s="785">
        <f>'Fuel Prices'!E113/(L_gal*DSL_PJ_ML) * USD2022_to_CAD2020</f>
        <v>19.550967926838329</v>
      </c>
      <c r="AJ188" s="785">
        <f>'Fuel Prices'!F113/(L_gal*DSL_PJ_ML) * USD2022_to_CAD2020</f>
        <v>19.223848430086697</v>
      </c>
      <c r="AK188" s="785">
        <f>'Fuel Prices'!G113/(L_gal*DSL_PJ_ML) * USD2022_to_CAD2020</f>
        <v>19.979298085246985</v>
      </c>
      <c r="AL188" s="785">
        <f>'Fuel Prices'!H113/(L_gal*DSL_PJ_ML) * USD2022_to_CAD2020</f>
        <v>20.550428012695139</v>
      </c>
      <c r="AM188" s="785">
        <f>'Fuel Prices'!I113/(L_gal*DSL_PJ_ML) * USD2022_to_CAD2020</f>
        <v>21.06835953269524</v>
      </c>
      <c r="AN188" s="785">
        <f>'Fuel Prices'!J113/(L_gal*DSL_PJ_ML) * USD2022_to_CAD2020</f>
        <v>21.594711828917621</v>
      </c>
      <c r="AP188" t="s">
        <v>2821</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7">
        <v>3</v>
      </c>
      <c r="Z189" s="377">
        <v>1</v>
      </c>
      <c r="AA189" s="377">
        <v>1</v>
      </c>
      <c r="AB189" s="377">
        <v>3</v>
      </c>
      <c r="AC189" s="377">
        <v>1</v>
      </c>
      <c r="AG189" s="107" t="s">
        <v>2975</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7">
        <v>3</v>
      </c>
      <c r="Z190" s="377">
        <v>1</v>
      </c>
      <c r="AA190" s="377">
        <v>1</v>
      </c>
      <c r="AB190" s="377">
        <v>3</v>
      </c>
      <c r="AC190" s="377">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7">
        <v>3</v>
      </c>
      <c r="Z191" s="377">
        <v>1</v>
      </c>
      <c r="AA191" s="377">
        <v>1</v>
      </c>
      <c r="AB191" s="377">
        <v>3</v>
      </c>
      <c r="AC191" s="377">
        <v>1</v>
      </c>
      <c r="AG191" s="379" t="s">
        <v>2970</v>
      </c>
      <c r="AP191" s="28" t="s">
        <v>2874</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7">
        <v>3</v>
      </c>
      <c r="Z192" s="377">
        <v>1</v>
      </c>
      <c r="AA192" s="377">
        <v>1</v>
      </c>
      <c r="AB192" s="377">
        <v>3</v>
      </c>
      <c r="AC192" s="377">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8">
        <v>2050</v>
      </c>
      <c r="AX192" t="s">
        <v>2203</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7">
        <v>3</v>
      </c>
      <c r="Z193" s="377">
        <v>1</v>
      </c>
      <c r="AA193" s="377">
        <v>1</v>
      </c>
      <c r="AB193" s="377">
        <v>3</v>
      </c>
      <c r="AC193" s="377">
        <v>1</v>
      </c>
      <c r="AG193" s="64" t="s">
        <v>250</v>
      </c>
      <c r="AH193" s="564">
        <f>'Fuel Prices'!D70/MJ_MMBtu*1000*USD2022_to_CAD2020</f>
        <v>7.9677092706238879</v>
      </c>
      <c r="AI193" s="564">
        <f>'Fuel Prices'!E70/MJ_MMBtu*1000*USD2022_to_CAD2020</f>
        <v>5.3268496483553367</v>
      </c>
      <c r="AJ193" s="564">
        <f>'Fuel Prices'!F70/MJ_MMBtu*1000*USD2022_to_CAD2020</f>
        <v>4.5575557676427145</v>
      </c>
      <c r="AK193" s="564">
        <f>'Fuel Prices'!G70/MJ_MMBtu*1000*USD2022_to_CAD2020</f>
        <v>4.9615906715952924</v>
      </c>
      <c r="AL193" s="564">
        <f>'Fuel Prices'!H70/MJ_MMBtu*1000*USD2022_to_CAD2020</f>
        <v>5.203146971015391</v>
      </c>
      <c r="AM193" s="564">
        <f>'Fuel Prices'!I70/MJ_MMBtu*1000*USD2022_to_CAD2020</f>
        <v>5.1131308937245219</v>
      </c>
      <c r="AN193" s="564">
        <f>'Fuel Prices'!J70/MJ_MMBtu*1000*USD2022_to_CAD2020</f>
        <v>4.9189756701118128</v>
      </c>
      <c r="AP193" t="s">
        <v>2982</v>
      </c>
      <c r="AQ193" s="434">
        <f t="shared" ref="AQ193:AV193" si="69">AI193/$AH193</f>
        <v>0.6685547209904954</v>
      </c>
      <c r="AR193" s="434">
        <f t="shared" si="69"/>
        <v>0.57200327130985396</v>
      </c>
      <c r="AS193" s="434">
        <f t="shared" si="69"/>
        <v>0.62271231329789589</v>
      </c>
      <c r="AT193" s="434">
        <f t="shared" si="69"/>
        <v>0.6530292201045601</v>
      </c>
      <c r="AU193" s="434">
        <f t="shared" si="69"/>
        <v>0.64173160943209884</v>
      </c>
      <c r="AV193" s="438">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7">
        <v>3</v>
      </c>
      <c r="Z194" s="377">
        <v>1</v>
      </c>
      <c r="AA194" s="377">
        <v>1</v>
      </c>
      <c r="AB194" s="377">
        <v>3</v>
      </c>
      <c r="AC194" s="377">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7">
        <v>3</v>
      </c>
      <c r="Z195" s="377">
        <v>1</v>
      </c>
      <c r="AA195" s="377">
        <v>1</v>
      </c>
      <c r="AB195" s="377">
        <v>3</v>
      </c>
      <c r="AC195" s="377">
        <v>1</v>
      </c>
      <c r="AG195" s="379" t="s">
        <v>2869</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7">
        <v>3</v>
      </c>
      <c r="Z196" s="377">
        <v>1</v>
      </c>
      <c r="AA196" s="377">
        <v>1</v>
      </c>
      <c r="AB196" s="377">
        <v>3</v>
      </c>
      <c r="AC196" s="377">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7">
        <v>3</v>
      </c>
      <c r="Z197" s="377">
        <v>1</v>
      </c>
      <c r="AA197" s="377">
        <v>1</v>
      </c>
      <c r="AB197" s="377">
        <v>3</v>
      </c>
      <c r="AC197" s="377">
        <v>1</v>
      </c>
      <c r="AG197" s="431" t="s">
        <v>2868</v>
      </c>
      <c r="AH197" s="569">
        <f>'OEO &amp; EPAUS9rT Data'!S99*USD2018_to_CAD2020</f>
        <v>20.308207024573903</v>
      </c>
      <c r="AI197" s="569">
        <f>'OEO &amp; EPAUS9rT Data'!T99*USD2018_to_CAD2020</f>
        <v>17.64356445274354</v>
      </c>
      <c r="AJ197" s="569">
        <f>'OEO &amp; EPAUS9rT Data'!U99*USD2018_to_CAD2020</f>
        <v>15.959372287546966</v>
      </c>
      <c r="AK197" s="569">
        <f>'OEO &amp; EPAUS9rT Data'!V99*USD2018_to_CAD2020</f>
        <v>14.862300121489877</v>
      </c>
      <c r="AL197" s="569">
        <f>'OEO &amp; EPAUS9rT Data'!W99*USD2018_to_CAD2020</f>
        <v>14.22274320377538</v>
      </c>
      <c r="AM197" s="569">
        <f>'OEO &amp; EPAUS9rT Data'!X99*USD2018_to_CAD2020</f>
        <v>13.80615399704025</v>
      </c>
      <c r="AN197" s="569">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7">
        <v>3</v>
      </c>
      <c r="Z198" s="377">
        <v>1</v>
      </c>
      <c r="AA198" s="377">
        <v>1</v>
      </c>
      <c r="AB198" s="377">
        <v>3</v>
      </c>
      <c r="AC198" s="377">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7">
        <v>3</v>
      </c>
      <c r="Z199" s="377">
        <v>1</v>
      </c>
      <c r="AA199" s="377">
        <v>1</v>
      </c>
      <c r="AB199" s="377">
        <v>3</v>
      </c>
      <c r="AC199" s="377">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7">
        <v>3</v>
      </c>
      <c r="Z200" s="377">
        <v>1</v>
      </c>
      <c r="AA200" s="377">
        <v>1</v>
      </c>
      <c r="AB200" s="377">
        <v>3</v>
      </c>
      <c r="AC200" s="377">
        <v>1</v>
      </c>
    </row>
    <row r="201" spans="1:50" x14ac:dyDescent="0.25">
      <c r="A201" t="s">
        <v>4420</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7">
        <v>3</v>
      </c>
      <c r="Z201" s="377">
        <v>1</v>
      </c>
      <c r="AA201" s="377">
        <v>1</v>
      </c>
      <c r="AB201" s="377">
        <v>3</v>
      </c>
      <c r="AC201" s="377">
        <v>1</v>
      </c>
    </row>
    <row r="202" spans="1:50" x14ac:dyDescent="0.25">
      <c r="A202" t="s">
        <v>4420</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7">
        <v>3</v>
      </c>
      <c r="Z202" s="377">
        <v>1</v>
      </c>
      <c r="AA202" s="377">
        <v>1</v>
      </c>
      <c r="AB202" s="377">
        <v>3</v>
      </c>
      <c r="AC202" s="377">
        <v>1</v>
      </c>
    </row>
    <row r="203" spans="1:50" x14ac:dyDescent="0.25">
      <c r="A203" t="s">
        <v>4420</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7">
        <v>3</v>
      </c>
      <c r="Z203" s="377">
        <v>1</v>
      </c>
      <c r="AA203" s="377">
        <v>1</v>
      </c>
      <c r="AB203" s="377">
        <v>3</v>
      </c>
      <c r="AC203" s="377">
        <v>1</v>
      </c>
    </row>
    <row r="204" spans="1:50" x14ac:dyDescent="0.25">
      <c r="A204" t="s">
        <v>4420</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7">
        <v>3</v>
      </c>
      <c r="Z204" s="377">
        <v>1</v>
      </c>
      <c r="AA204" s="377">
        <v>1</v>
      </c>
      <c r="AB204" s="377">
        <v>3</v>
      </c>
      <c r="AC204" s="377">
        <v>1</v>
      </c>
    </row>
    <row r="205" spans="1:50" x14ac:dyDescent="0.25">
      <c r="A205" t="s">
        <v>4420</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7">
        <v>3</v>
      </c>
      <c r="Z205" s="377">
        <v>1</v>
      </c>
      <c r="AA205" s="377">
        <v>1</v>
      </c>
      <c r="AB205" s="377">
        <v>3</v>
      </c>
      <c r="AC205" s="377">
        <v>1</v>
      </c>
    </row>
    <row r="206" spans="1:50" x14ac:dyDescent="0.25">
      <c r="A206" t="s">
        <v>4420</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7">
        <v>3</v>
      </c>
      <c r="Z206" s="377">
        <v>1</v>
      </c>
      <c r="AA206" s="377">
        <v>1</v>
      </c>
      <c r="AB206" s="377">
        <v>3</v>
      </c>
      <c r="AC206" s="377">
        <v>1</v>
      </c>
    </row>
    <row r="207" spans="1:50" x14ac:dyDescent="0.25">
      <c r="A207" t="s">
        <v>4420</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7">
        <v>3</v>
      </c>
      <c r="Z207" s="377">
        <v>1</v>
      </c>
      <c r="AA207" s="377">
        <v>1</v>
      </c>
      <c r="AB207" s="377">
        <v>3</v>
      </c>
      <c r="AC207" s="377">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7">
        <v>3</v>
      </c>
      <c r="Z208" s="377">
        <v>1</v>
      </c>
      <c r="AA208" s="377">
        <v>1</v>
      </c>
      <c r="AB208" s="377">
        <v>3</v>
      </c>
      <c r="AC208" s="377">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7">
        <v>3</v>
      </c>
      <c r="Z209" s="377">
        <v>1</v>
      </c>
      <c r="AA209" s="377">
        <v>1</v>
      </c>
      <c r="AB209" s="377">
        <v>3</v>
      </c>
      <c r="AC209" s="377">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7">
        <v>3</v>
      </c>
      <c r="Z210" s="377">
        <v>1</v>
      </c>
      <c r="AA210" s="377">
        <v>1</v>
      </c>
      <c r="AB210" s="377">
        <v>3</v>
      </c>
      <c r="AC210" s="377">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7">
        <v>3</v>
      </c>
      <c r="Z211" s="377">
        <v>1</v>
      </c>
      <c r="AA211" s="377">
        <v>1</v>
      </c>
      <c r="AB211" s="377">
        <v>3</v>
      </c>
      <c r="AC211" s="377">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7">
        <v>3</v>
      </c>
      <c r="Z212" s="377">
        <v>1</v>
      </c>
      <c r="AA212" s="377">
        <v>1</v>
      </c>
      <c r="AB212" s="377">
        <v>3</v>
      </c>
      <c r="AC212" s="377">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7">
        <v>3</v>
      </c>
      <c r="Z213" s="377">
        <v>1</v>
      </c>
      <c r="AA213" s="377">
        <v>1</v>
      </c>
      <c r="AB213" s="377">
        <v>3</v>
      </c>
      <c r="AC213" s="377">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7">
        <v>3</v>
      </c>
      <c r="Z214" s="377">
        <v>1</v>
      </c>
      <c r="AA214" s="377">
        <v>1</v>
      </c>
      <c r="AB214" s="377">
        <v>3</v>
      </c>
      <c r="AC214" s="377">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7">
        <v>3</v>
      </c>
      <c r="Z215" s="377">
        <v>1</v>
      </c>
      <c r="AA215" s="377">
        <v>1</v>
      </c>
      <c r="AB215" s="377">
        <v>3</v>
      </c>
      <c r="AC215" s="377">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7">
        <v>3</v>
      </c>
      <c r="Z216" s="377">
        <v>1</v>
      </c>
      <c r="AA216" s="377">
        <v>1</v>
      </c>
      <c r="AB216" s="377">
        <v>3</v>
      </c>
      <c r="AC216" s="377">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7">
        <v>3</v>
      </c>
      <c r="Z217" s="377">
        <v>1</v>
      </c>
      <c r="AA217" s="377">
        <v>1</v>
      </c>
      <c r="AB217" s="377">
        <v>3</v>
      </c>
      <c r="AC217" s="377">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7">
        <v>3</v>
      </c>
      <c r="Z218" s="377">
        <v>1</v>
      </c>
      <c r="AA218" s="377">
        <v>1</v>
      </c>
      <c r="AB218" s="377">
        <v>3</v>
      </c>
      <c r="AC218" s="377">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7">
        <v>3</v>
      </c>
      <c r="Z219" s="377">
        <v>1</v>
      </c>
      <c r="AA219" s="377">
        <v>1</v>
      </c>
      <c r="AB219" s="377">
        <v>3</v>
      </c>
      <c r="AC219" s="377">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7">
        <v>3</v>
      </c>
      <c r="Z220" s="377">
        <v>1</v>
      </c>
      <c r="AA220" s="377">
        <v>1</v>
      </c>
      <c r="AB220" s="377">
        <v>3</v>
      </c>
      <c r="AC220" s="377">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7">
        <v>3</v>
      </c>
      <c r="Z221" s="377">
        <v>1</v>
      </c>
      <c r="AA221" s="377">
        <v>1</v>
      </c>
      <c r="AB221" s="377">
        <v>3</v>
      </c>
      <c r="AC221" s="377">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7">
        <v>3</v>
      </c>
      <c r="Z222" s="377">
        <v>1</v>
      </c>
      <c r="AA222" s="377">
        <v>1</v>
      </c>
      <c r="AB222" s="377">
        <v>3</v>
      </c>
      <c r="AC222" s="377">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7">
        <v>3</v>
      </c>
      <c r="Z223" s="377">
        <v>1</v>
      </c>
      <c r="AA223" s="377">
        <v>1</v>
      </c>
      <c r="AB223" s="377">
        <v>3</v>
      </c>
      <c r="AC223" s="377">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7">
        <v>3</v>
      </c>
      <c r="Z224" s="377">
        <v>1</v>
      </c>
      <c r="AA224" s="377">
        <v>1</v>
      </c>
      <c r="AB224" s="377">
        <v>3</v>
      </c>
      <c r="AC224" s="377">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7">
        <v>3</v>
      </c>
      <c r="Z225" s="377">
        <v>1</v>
      </c>
      <c r="AA225" s="377">
        <v>1</v>
      </c>
      <c r="AB225" s="377">
        <v>3</v>
      </c>
      <c r="AC225" s="377">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7">
        <v>3</v>
      </c>
      <c r="Z226" s="377">
        <v>1</v>
      </c>
      <c r="AA226" s="377">
        <v>1</v>
      </c>
      <c r="AB226" s="377">
        <v>3</v>
      </c>
      <c r="AC226" s="377">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7">
        <v>3</v>
      </c>
      <c r="Z227" s="377">
        <v>1</v>
      </c>
      <c r="AA227" s="377">
        <v>1</v>
      </c>
      <c r="AB227" s="377">
        <v>3</v>
      </c>
      <c r="AC227" s="377">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7">
        <v>3</v>
      </c>
      <c r="Z228" s="377">
        <v>1</v>
      </c>
      <c r="AA228" s="377">
        <v>1</v>
      </c>
      <c r="AB228" s="377">
        <v>3</v>
      </c>
      <c r="AC228" s="377">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7">
        <v>3</v>
      </c>
      <c r="Z229" s="377">
        <v>1</v>
      </c>
      <c r="AA229" s="377">
        <v>1</v>
      </c>
      <c r="AB229" s="377">
        <v>3</v>
      </c>
      <c r="AC229" s="377">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7">
        <v>3</v>
      </c>
      <c r="Z230" s="377">
        <v>1</v>
      </c>
      <c r="AA230" s="377">
        <v>1</v>
      </c>
      <c r="AB230" s="377">
        <v>3</v>
      </c>
      <c r="AC230" s="377">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7">
        <v>3</v>
      </c>
      <c r="Z231" s="377">
        <v>1</v>
      </c>
      <c r="AA231" s="377">
        <v>1</v>
      </c>
      <c r="AB231" s="377">
        <v>3</v>
      </c>
      <c r="AC231" s="377">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7">
        <v>3</v>
      </c>
      <c r="Z232" s="377">
        <v>1</v>
      </c>
      <c r="AA232" s="377">
        <v>1</v>
      </c>
      <c r="AB232" s="377">
        <v>3</v>
      </c>
      <c r="AC232" s="377">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7">
        <v>3</v>
      </c>
      <c r="Z233" s="377">
        <v>1</v>
      </c>
      <c r="AA233" s="377">
        <v>1</v>
      </c>
      <c r="AB233" s="377">
        <v>3</v>
      </c>
      <c r="AC233" s="377">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7">
        <v>3</v>
      </c>
      <c r="Z234" s="377">
        <v>1</v>
      </c>
      <c r="AA234" s="377">
        <v>1</v>
      </c>
      <c r="AB234" s="377">
        <v>3</v>
      </c>
      <c r="AC234" s="377">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7">
        <v>3</v>
      </c>
      <c r="Z235" s="377">
        <v>1</v>
      </c>
      <c r="AA235" s="377">
        <v>1</v>
      </c>
      <c r="AB235" s="377">
        <v>3</v>
      </c>
      <c r="AC235" s="377">
        <v>1</v>
      </c>
    </row>
    <row r="236" spans="1:29" x14ac:dyDescent="0.25">
      <c r="A236" t="s">
        <v>4391</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7">
        <v>3</v>
      </c>
      <c r="Z236" s="377">
        <v>1</v>
      </c>
      <c r="AA236" s="377">
        <v>1</v>
      </c>
      <c r="AB236" s="377">
        <v>3</v>
      </c>
      <c r="AC236" s="377">
        <v>1</v>
      </c>
    </row>
    <row r="237" spans="1:29" x14ac:dyDescent="0.25">
      <c r="A237" t="s">
        <v>4391</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7">
        <v>3</v>
      </c>
      <c r="Z237" s="377">
        <v>1</v>
      </c>
      <c r="AA237" s="377">
        <v>1</v>
      </c>
      <c r="AB237" s="377">
        <v>3</v>
      </c>
      <c r="AC237" s="377">
        <v>1</v>
      </c>
    </row>
    <row r="238" spans="1:29" x14ac:dyDescent="0.25">
      <c r="A238" t="s">
        <v>4391</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7">
        <v>3</v>
      </c>
      <c r="Z238" s="377">
        <v>1</v>
      </c>
      <c r="AA238" s="377">
        <v>1</v>
      </c>
      <c r="AB238" s="377">
        <v>3</v>
      </c>
      <c r="AC238" s="377">
        <v>1</v>
      </c>
    </row>
    <row r="239" spans="1:29" x14ac:dyDescent="0.25">
      <c r="A239" t="s">
        <v>4391</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7">
        <v>3</v>
      </c>
      <c r="Z239" s="377">
        <v>1</v>
      </c>
      <c r="AA239" s="377">
        <v>1</v>
      </c>
      <c r="AB239" s="377">
        <v>3</v>
      </c>
      <c r="AC239" s="377">
        <v>1</v>
      </c>
    </row>
    <row r="240" spans="1:29" x14ac:dyDescent="0.25">
      <c r="A240" t="s">
        <v>4391</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7">
        <v>3</v>
      </c>
      <c r="Z240" s="377">
        <v>1</v>
      </c>
      <c r="AA240" s="377">
        <v>1</v>
      </c>
      <c r="AB240" s="377">
        <v>3</v>
      </c>
      <c r="AC240" s="377">
        <v>1</v>
      </c>
    </row>
    <row r="241" spans="1:29" x14ac:dyDescent="0.25">
      <c r="A241" t="s">
        <v>4391</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7">
        <v>3</v>
      </c>
      <c r="Z241" s="377">
        <v>1</v>
      </c>
      <c r="AA241" s="377">
        <v>1</v>
      </c>
      <c r="AB241" s="377">
        <v>3</v>
      </c>
      <c r="AC241" s="377">
        <v>1</v>
      </c>
    </row>
    <row r="242" spans="1:29" x14ac:dyDescent="0.25">
      <c r="A242" t="s">
        <v>4391</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7">
        <v>3</v>
      </c>
      <c r="Z242" s="377">
        <v>1</v>
      </c>
      <c r="AA242" s="377">
        <v>1</v>
      </c>
      <c r="AB242" s="377">
        <v>3</v>
      </c>
      <c r="AC242" s="377">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7">
        <v>3</v>
      </c>
      <c r="Z243" s="377">
        <v>1</v>
      </c>
      <c r="AA243" s="377">
        <v>1</v>
      </c>
      <c r="AB243" s="377">
        <v>3</v>
      </c>
      <c r="AC243" s="377">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7">
        <v>3</v>
      </c>
      <c r="Z244" s="377">
        <v>1</v>
      </c>
      <c r="AA244" s="377">
        <v>1</v>
      </c>
      <c r="AB244" s="377">
        <v>3</v>
      </c>
      <c r="AC244" s="377">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7">
        <v>3</v>
      </c>
      <c r="Z245" s="377">
        <v>1</v>
      </c>
      <c r="AA245" s="377">
        <v>1</v>
      </c>
      <c r="AB245" s="377">
        <v>3</v>
      </c>
      <c r="AC245" s="377">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7">
        <v>3</v>
      </c>
      <c r="Z246" s="377">
        <v>1</v>
      </c>
      <c r="AA246" s="377">
        <v>1</v>
      </c>
      <c r="AB246" s="377">
        <v>3</v>
      </c>
      <c r="AC246" s="377">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7">
        <v>3</v>
      </c>
      <c r="Z247" s="377">
        <v>1</v>
      </c>
      <c r="AA247" s="377">
        <v>1</v>
      </c>
      <c r="AB247" s="377">
        <v>3</v>
      </c>
      <c r="AC247" s="377">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7">
        <v>3</v>
      </c>
      <c r="Z248" s="377">
        <v>1</v>
      </c>
      <c r="AA248" s="377">
        <v>1</v>
      </c>
      <c r="AB248" s="377">
        <v>3</v>
      </c>
      <c r="AC248" s="377">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7">
        <v>3</v>
      </c>
      <c r="Z249" s="377">
        <v>1</v>
      </c>
      <c r="AA249" s="377">
        <v>1</v>
      </c>
      <c r="AB249" s="377">
        <v>3</v>
      </c>
      <c r="AC249" s="377">
        <v>1</v>
      </c>
    </row>
    <row r="250" spans="1:29" x14ac:dyDescent="0.25">
      <c r="A250" t="s">
        <v>4396</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7">
        <v>3</v>
      </c>
      <c r="Z250" s="377">
        <v>1</v>
      </c>
      <c r="AA250" s="377">
        <v>1</v>
      </c>
      <c r="AB250" s="377">
        <v>3</v>
      </c>
      <c r="AC250" s="377">
        <v>1</v>
      </c>
    </row>
    <row r="251" spans="1:29" x14ac:dyDescent="0.25">
      <c r="A251" t="s">
        <v>4396</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7">
        <v>3</v>
      </c>
      <c r="Z251" s="377">
        <v>1</v>
      </c>
      <c r="AA251" s="377">
        <v>1</v>
      </c>
      <c r="AB251" s="377">
        <v>3</v>
      </c>
      <c r="AC251" s="377">
        <v>1</v>
      </c>
    </row>
    <row r="252" spans="1:29" x14ac:dyDescent="0.25">
      <c r="A252" t="s">
        <v>4396</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7">
        <v>3</v>
      </c>
      <c r="Z252" s="377">
        <v>1</v>
      </c>
      <c r="AA252" s="377">
        <v>1</v>
      </c>
      <c r="AB252" s="377">
        <v>3</v>
      </c>
      <c r="AC252" s="377">
        <v>1</v>
      </c>
    </row>
    <row r="253" spans="1:29" x14ac:dyDescent="0.25">
      <c r="A253" t="s">
        <v>4396</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7">
        <v>3</v>
      </c>
      <c r="Z253" s="377">
        <v>1</v>
      </c>
      <c r="AA253" s="377">
        <v>1</v>
      </c>
      <c r="AB253" s="377">
        <v>3</v>
      </c>
      <c r="AC253" s="377">
        <v>1</v>
      </c>
    </row>
    <row r="254" spans="1:29" x14ac:dyDescent="0.25">
      <c r="A254" t="s">
        <v>4396</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7">
        <v>3</v>
      </c>
      <c r="Z254" s="377">
        <v>1</v>
      </c>
      <c r="AA254" s="377">
        <v>1</v>
      </c>
      <c r="AB254" s="377">
        <v>3</v>
      </c>
      <c r="AC254" s="377">
        <v>1</v>
      </c>
    </row>
    <row r="255" spans="1:29" x14ac:dyDescent="0.25">
      <c r="A255" t="s">
        <v>4396</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7">
        <v>3</v>
      </c>
      <c r="Z255" s="377">
        <v>1</v>
      </c>
      <c r="AA255" s="377">
        <v>1</v>
      </c>
      <c r="AB255" s="377">
        <v>3</v>
      </c>
      <c r="AC255" s="377">
        <v>1</v>
      </c>
    </row>
    <row r="256" spans="1:29" x14ac:dyDescent="0.25">
      <c r="A256" t="s">
        <v>4396</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7">
        <v>3</v>
      </c>
      <c r="Z256" s="377">
        <v>1</v>
      </c>
      <c r="AA256" s="377">
        <v>1</v>
      </c>
      <c r="AB256" s="377">
        <v>3</v>
      </c>
      <c r="AC256" s="377">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7">
        <v>3</v>
      </c>
      <c r="Z257" s="377">
        <v>1</v>
      </c>
      <c r="AA257" s="377">
        <v>1</v>
      </c>
      <c r="AB257" s="377">
        <v>3</v>
      </c>
      <c r="AC257" s="377">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7">
        <v>3</v>
      </c>
      <c r="Z258" s="377">
        <v>1</v>
      </c>
      <c r="AA258" s="377">
        <v>1</v>
      </c>
      <c r="AB258" s="377">
        <v>3</v>
      </c>
      <c r="AC258" s="377">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7">
        <v>3</v>
      </c>
      <c r="Z259" s="377">
        <v>1</v>
      </c>
      <c r="AA259" s="377">
        <v>1</v>
      </c>
      <c r="AB259" s="377">
        <v>3</v>
      </c>
      <c r="AC259" s="377">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7">
        <v>3</v>
      </c>
      <c r="Z260" s="377">
        <v>1</v>
      </c>
      <c r="AA260" s="377">
        <v>1</v>
      </c>
      <c r="AB260" s="377">
        <v>3</v>
      </c>
      <c r="AC260" s="377">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7">
        <v>3</v>
      </c>
      <c r="Z261" s="377">
        <v>1</v>
      </c>
      <c r="AA261" s="377">
        <v>1</v>
      </c>
      <c r="AB261" s="377">
        <v>3</v>
      </c>
      <c r="AC261" s="377">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7">
        <v>3</v>
      </c>
      <c r="Z262" s="377">
        <v>1</v>
      </c>
      <c r="AA262" s="377">
        <v>1</v>
      </c>
      <c r="AB262" s="377">
        <v>3</v>
      </c>
      <c r="AC262" s="377">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7">
        <v>3</v>
      </c>
      <c r="Z263" s="377">
        <v>1</v>
      </c>
      <c r="AA263" s="377">
        <v>1</v>
      </c>
      <c r="AB263" s="377">
        <v>3</v>
      </c>
      <c r="AC263" s="377">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7">
        <v>3</v>
      </c>
      <c r="Z264" s="377">
        <v>1</v>
      </c>
      <c r="AA264" s="377">
        <v>1</v>
      </c>
      <c r="AB264" s="377">
        <v>3</v>
      </c>
      <c r="AC264" s="377">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7">
        <v>3</v>
      </c>
      <c r="Z265" s="377">
        <v>1</v>
      </c>
      <c r="AA265" s="377">
        <v>1</v>
      </c>
      <c r="AB265" s="377">
        <v>3</v>
      </c>
      <c r="AC265" s="377">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7">
        <v>3</v>
      </c>
      <c r="Z266" s="377">
        <v>1</v>
      </c>
      <c r="AA266" s="377">
        <v>1</v>
      </c>
      <c r="AB266" s="377">
        <v>3</v>
      </c>
      <c r="AC266" s="377">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7">
        <v>3</v>
      </c>
      <c r="Z267" s="377">
        <v>1</v>
      </c>
      <c r="AA267" s="377">
        <v>1</v>
      </c>
      <c r="AB267" s="377">
        <v>3</v>
      </c>
      <c r="AC267" s="377">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7">
        <v>3</v>
      </c>
      <c r="Z268" s="377">
        <v>1</v>
      </c>
      <c r="AA268" s="377">
        <v>1</v>
      </c>
      <c r="AB268" s="377">
        <v>3</v>
      </c>
      <c r="AC268" s="377">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7">
        <v>3</v>
      </c>
      <c r="Z269" s="377">
        <v>1</v>
      </c>
      <c r="AA269" s="377">
        <v>1</v>
      </c>
      <c r="AB269" s="377">
        <v>3</v>
      </c>
      <c r="AC269" s="377">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7">
        <v>3</v>
      </c>
      <c r="Z270" s="377">
        <v>1</v>
      </c>
      <c r="AA270" s="377">
        <v>1</v>
      </c>
      <c r="AB270" s="377">
        <v>3</v>
      </c>
      <c r="AC270" s="377">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7">
        <v>3</v>
      </c>
      <c r="Z271" s="377">
        <v>1</v>
      </c>
      <c r="AA271" s="377">
        <v>1</v>
      </c>
      <c r="AB271" s="377">
        <v>3</v>
      </c>
      <c r="AC271" s="377">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7">
        <v>3</v>
      </c>
      <c r="Z272" s="377">
        <v>1</v>
      </c>
      <c r="AA272" s="377">
        <v>1</v>
      </c>
      <c r="AB272" s="377">
        <v>3</v>
      </c>
      <c r="AC272" s="377">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7">
        <v>3</v>
      </c>
      <c r="Z273" s="377">
        <v>1</v>
      </c>
      <c r="AA273" s="377">
        <v>1</v>
      </c>
      <c r="AB273" s="377">
        <v>3</v>
      </c>
      <c r="AC273" s="377">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7">
        <v>3</v>
      </c>
      <c r="Z274" s="377">
        <v>1</v>
      </c>
      <c r="AA274" s="377">
        <v>1</v>
      </c>
      <c r="AB274" s="377">
        <v>3</v>
      </c>
      <c r="AC274" s="377">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7">
        <v>3</v>
      </c>
      <c r="Z275" s="377">
        <v>1</v>
      </c>
      <c r="AA275" s="377">
        <v>1</v>
      </c>
      <c r="AB275" s="377">
        <v>3</v>
      </c>
      <c r="AC275" s="377">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7">
        <v>3</v>
      </c>
      <c r="Z276" s="377">
        <v>1</v>
      </c>
      <c r="AA276" s="377">
        <v>1</v>
      </c>
      <c r="AB276" s="377">
        <v>3</v>
      </c>
      <c r="AC276" s="377">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7">
        <v>3</v>
      </c>
      <c r="Z277" s="377">
        <v>1</v>
      </c>
      <c r="AA277" s="377">
        <v>1</v>
      </c>
      <c r="AB277" s="377">
        <v>3</v>
      </c>
      <c r="AC277" s="377">
        <v>1</v>
      </c>
    </row>
    <row r="278" spans="1:29" x14ac:dyDescent="0.25">
      <c r="A278" t="s">
        <v>4421</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7">
        <v>3</v>
      </c>
      <c r="Z278" s="377">
        <v>1</v>
      </c>
      <c r="AA278" s="377">
        <v>1</v>
      </c>
      <c r="AB278" s="377">
        <v>3</v>
      </c>
      <c r="AC278" s="377">
        <v>1</v>
      </c>
    </row>
    <row r="279" spans="1:29" x14ac:dyDescent="0.25">
      <c r="A279" t="s">
        <v>4421</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7">
        <v>3</v>
      </c>
      <c r="Z279" s="377">
        <v>1</v>
      </c>
      <c r="AA279" s="377">
        <v>1</v>
      </c>
      <c r="AB279" s="377">
        <v>3</v>
      </c>
      <c r="AC279" s="377">
        <v>1</v>
      </c>
    </row>
    <row r="280" spans="1:29" x14ac:dyDescent="0.25">
      <c r="A280" t="s">
        <v>4421</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7">
        <v>3</v>
      </c>
      <c r="Z280" s="377">
        <v>1</v>
      </c>
      <c r="AA280" s="377">
        <v>1</v>
      </c>
      <c r="AB280" s="377">
        <v>3</v>
      </c>
      <c r="AC280" s="377">
        <v>1</v>
      </c>
    </row>
    <row r="281" spans="1:29" x14ac:dyDescent="0.25">
      <c r="A281" t="s">
        <v>4421</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7">
        <v>3</v>
      </c>
      <c r="Z281" s="377">
        <v>1</v>
      </c>
      <c r="AA281" s="377">
        <v>1</v>
      </c>
      <c r="AB281" s="377">
        <v>3</v>
      </c>
      <c r="AC281" s="377">
        <v>1</v>
      </c>
    </row>
    <row r="282" spans="1:29" x14ac:dyDescent="0.25">
      <c r="A282" t="s">
        <v>4421</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7">
        <v>3</v>
      </c>
      <c r="Z282" s="377">
        <v>1</v>
      </c>
      <c r="AA282" s="377">
        <v>1</v>
      </c>
      <c r="AB282" s="377">
        <v>3</v>
      </c>
      <c r="AC282" s="377">
        <v>1</v>
      </c>
    </row>
    <row r="283" spans="1:29" x14ac:dyDescent="0.25">
      <c r="A283" t="s">
        <v>4421</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7">
        <v>3</v>
      </c>
      <c r="Z283" s="377">
        <v>1</v>
      </c>
      <c r="AA283" s="377">
        <v>1</v>
      </c>
      <c r="AB283" s="377">
        <v>3</v>
      </c>
      <c r="AC283" s="377">
        <v>1</v>
      </c>
    </row>
    <row r="284" spans="1:29" x14ac:dyDescent="0.25">
      <c r="A284" t="s">
        <v>4421</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7">
        <v>3</v>
      </c>
      <c r="Z284" s="377">
        <v>1</v>
      </c>
      <c r="AA284" s="377">
        <v>1</v>
      </c>
      <c r="AB284" s="377">
        <v>3</v>
      </c>
      <c r="AC284" s="377">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7">
        <v>3</v>
      </c>
      <c r="Z285" s="377">
        <v>1</v>
      </c>
      <c r="AA285" s="377">
        <v>1</v>
      </c>
      <c r="AB285" s="377">
        <v>3</v>
      </c>
      <c r="AC285" s="377">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7">
        <v>3</v>
      </c>
      <c r="Z286" s="377">
        <v>1</v>
      </c>
      <c r="AA286" s="377">
        <v>1</v>
      </c>
      <c r="AB286" s="377">
        <v>3</v>
      </c>
      <c r="AC286" s="377">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7">
        <v>3</v>
      </c>
      <c r="Z287" s="377">
        <v>1</v>
      </c>
      <c r="AA287" s="377">
        <v>1</v>
      </c>
      <c r="AB287" s="377">
        <v>3</v>
      </c>
      <c r="AC287" s="377">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7">
        <v>3</v>
      </c>
      <c r="Z288" s="377">
        <v>1</v>
      </c>
      <c r="AA288" s="377">
        <v>1</v>
      </c>
      <c r="AB288" s="377">
        <v>3</v>
      </c>
      <c r="AC288" s="377">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7">
        <v>3</v>
      </c>
      <c r="Z289" s="377">
        <v>1</v>
      </c>
      <c r="AA289" s="377">
        <v>1</v>
      </c>
      <c r="AB289" s="377">
        <v>3</v>
      </c>
      <c r="AC289" s="377">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7">
        <v>3</v>
      </c>
      <c r="Z290" s="377">
        <v>1</v>
      </c>
      <c r="AA290" s="377">
        <v>1</v>
      </c>
      <c r="AB290" s="377">
        <v>3</v>
      </c>
      <c r="AC290" s="377">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7">
        <v>3</v>
      </c>
      <c r="Z291" s="377">
        <v>1</v>
      </c>
      <c r="AA291" s="377">
        <v>1</v>
      </c>
      <c r="AB291" s="377">
        <v>3</v>
      </c>
      <c r="AC291" s="377">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7">
        <v>3</v>
      </c>
      <c r="Z292" s="377">
        <v>1</v>
      </c>
      <c r="AA292" s="377">
        <v>1</v>
      </c>
      <c r="AB292" s="377">
        <v>3</v>
      </c>
      <c r="AC292" s="377">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7">
        <v>3</v>
      </c>
      <c r="Z293" s="377">
        <v>1</v>
      </c>
      <c r="AA293" s="377">
        <v>1</v>
      </c>
      <c r="AB293" s="377">
        <v>3</v>
      </c>
      <c r="AC293" s="377">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7">
        <v>3</v>
      </c>
      <c r="Z294" s="377">
        <v>1</v>
      </c>
      <c r="AA294" s="377">
        <v>1</v>
      </c>
      <c r="AB294" s="377">
        <v>3</v>
      </c>
      <c r="AC294" s="377">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7">
        <v>3</v>
      </c>
      <c r="Z295" s="377">
        <v>1</v>
      </c>
      <c r="AA295" s="377">
        <v>1</v>
      </c>
      <c r="AB295" s="377">
        <v>3</v>
      </c>
      <c r="AC295" s="377">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7">
        <v>3</v>
      </c>
      <c r="Z296" s="377">
        <v>1</v>
      </c>
      <c r="AA296" s="377">
        <v>1</v>
      </c>
      <c r="AB296" s="377">
        <v>3</v>
      </c>
      <c r="AC296" s="377">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7">
        <v>3</v>
      </c>
      <c r="Z297" s="377">
        <v>1</v>
      </c>
      <c r="AA297" s="377">
        <v>1</v>
      </c>
      <c r="AB297" s="377">
        <v>3</v>
      </c>
      <c r="AC297" s="377">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7">
        <v>3</v>
      </c>
      <c r="Z298" s="377">
        <v>1</v>
      </c>
      <c r="AA298" s="377">
        <v>1</v>
      </c>
      <c r="AB298" s="377">
        <v>3</v>
      </c>
      <c r="AC298" s="377">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7">
        <v>3</v>
      </c>
      <c r="Z299" s="377">
        <v>1</v>
      </c>
      <c r="AA299" s="377">
        <v>1</v>
      </c>
      <c r="AB299" s="377">
        <v>3</v>
      </c>
      <c r="AC299" s="377">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7">
        <v>3</v>
      </c>
      <c r="Z300" s="377">
        <v>1</v>
      </c>
      <c r="AA300" s="377">
        <v>1</v>
      </c>
      <c r="AB300" s="377">
        <v>3</v>
      </c>
      <c r="AC300" s="377">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7">
        <v>3</v>
      </c>
      <c r="Z301" s="377">
        <v>1</v>
      </c>
      <c r="AA301" s="377">
        <v>1</v>
      </c>
      <c r="AB301" s="377">
        <v>3</v>
      </c>
      <c r="AC301" s="377">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7">
        <v>3</v>
      </c>
      <c r="Z302" s="377">
        <v>1</v>
      </c>
      <c r="AA302" s="377">
        <v>1</v>
      </c>
      <c r="AB302" s="377">
        <v>3</v>
      </c>
      <c r="AC302" s="377">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7">
        <v>3</v>
      </c>
      <c r="Z303" s="377">
        <v>1</v>
      </c>
      <c r="AA303" s="377">
        <v>1</v>
      </c>
      <c r="AB303" s="377">
        <v>3</v>
      </c>
      <c r="AC303" s="377">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7">
        <v>3</v>
      </c>
      <c r="Z304" s="377">
        <v>1</v>
      </c>
      <c r="AA304" s="377">
        <v>1</v>
      </c>
      <c r="AB304" s="377">
        <v>3</v>
      </c>
      <c r="AC304" s="377">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7">
        <v>3</v>
      </c>
      <c r="Z305" s="377">
        <v>1</v>
      </c>
      <c r="AA305" s="377">
        <v>1</v>
      </c>
      <c r="AB305" s="377">
        <v>3</v>
      </c>
      <c r="AC305" s="377">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7">
        <v>3</v>
      </c>
      <c r="Z306" s="377">
        <v>1</v>
      </c>
      <c r="AA306" s="377">
        <v>1</v>
      </c>
      <c r="AB306" s="377">
        <v>3</v>
      </c>
      <c r="AC306" s="377">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7">
        <v>3</v>
      </c>
      <c r="Z307" s="377">
        <v>1</v>
      </c>
      <c r="AA307" s="377">
        <v>1</v>
      </c>
      <c r="AB307" s="377">
        <v>3</v>
      </c>
      <c r="AC307" s="377">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7">
        <v>3</v>
      </c>
      <c r="Z308" s="377">
        <v>1</v>
      </c>
      <c r="AA308" s="377">
        <v>1</v>
      </c>
      <c r="AB308" s="377">
        <v>3</v>
      </c>
      <c r="AC308" s="377">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7">
        <v>3</v>
      </c>
      <c r="Z309" s="377">
        <v>1</v>
      </c>
      <c r="AA309" s="377">
        <v>1</v>
      </c>
      <c r="AB309" s="377">
        <v>3</v>
      </c>
      <c r="AC309" s="377">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7">
        <v>3</v>
      </c>
      <c r="Z310" s="377">
        <v>1</v>
      </c>
      <c r="AA310" s="377">
        <v>1</v>
      </c>
      <c r="AB310" s="377">
        <v>3</v>
      </c>
      <c r="AC310" s="377">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7">
        <v>3</v>
      </c>
      <c r="Z311" s="377">
        <v>1</v>
      </c>
      <c r="AA311" s="377">
        <v>1</v>
      </c>
      <c r="AB311" s="377">
        <v>3</v>
      </c>
      <c r="AC311" s="377">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7">
        <v>3</v>
      </c>
      <c r="Z312" s="377">
        <v>1</v>
      </c>
      <c r="AA312" s="377">
        <v>1</v>
      </c>
      <c r="AB312" s="377">
        <v>3</v>
      </c>
      <c r="AC312" s="377">
        <v>1</v>
      </c>
    </row>
    <row r="313" spans="1:29" x14ac:dyDescent="0.25">
      <c r="A313" t="s">
        <v>4392</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7">
        <v>3</v>
      </c>
      <c r="Z313" s="377">
        <v>1</v>
      </c>
      <c r="AA313" s="377">
        <v>1</v>
      </c>
      <c r="AB313" s="377">
        <v>3</v>
      </c>
      <c r="AC313" s="377">
        <v>1</v>
      </c>
    </row>
    <row r="314" spans="1:29" x14ac:dyDescent="0.25">
      <c r="A314" t="s">
        <v>4392</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7">
        <v>3</v>
      </c>
      <c r="Z314" s="377">
        <v>1</v>
      </c>
      <c r="AA314" s="377">
        <v>1</v>
      </c>
      <c r="AB314" s="377">
        <v>3</v>
      </c>
      <c r="AC314" s="377">
        <v>1</v>
      </c>
    </row>
    <row r="315" spans="1:29" x14ac:dyDescent="0.25">
      <c r="A315" t="s">
        <v>4392</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7">
        <v>3</v>
      </c>
      <c r="Z315" s="377">
        <v>1</v>
      </c>
      <c r="AA315" s="377">
        <v>1</v>
      </c>
      <c r="AB315" s="377">
        <v>3</v>
      </c>
      <c r="AC315" s="377">
        <v>1</v>
      </c>
    </row>
    <row r="316" spans="1:29" x14ac:dyDescent="0.25">
      <c r="A316" t="s">
        <v>4392</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7">
        <v>3</v>
      </c>
      <c r="Z316" s="377">
        <v>1</v>
      </c>
      <c r="AA316" s="377">
        <v>1</v>
      </c>
      <c r="AB316" s="377">
        <v>3</v>
      </c>
      <c r="AC316" s="377">
        <v>1</v>
      </c>
    </row>
    <row r="317" spans="1:29" x14ac:dyDescent="0.25">
      <c r="A317" t="s">
        <v>4392</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7">
        <v>3</v>
      </c>
      <c r="Z317" s="377">
        <v>1</v>
      </c>
      <c r="AA317" s="377">
        <v>1</v>
      </c>
      <c r="AB317" s="377">
        <v>3</v>
      </c>
      <c r="AC317" s="377">
        <v>1</v>
      </c>
    </row>
    <row r="318" spans="1:29" x14ac:dyDescent="0.25">
      <c r="A318" t="s">
        <v>4392</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7">
        <v>3</v>
      </c>
      <c r="Z318" s="377">
        <v>1</v>
      </c>
      <c r="AA318" s="377">
        <v>1</v>
      </c>
      <c r="AB318" s="377">
        <v>3</v>
      </c>
      <c r="AC318" s="377">
        <v>1</v>
      </c>
    </row>
    <row r="319" spans="1:29" x14ac:dyDescent="0.25">
      <c r="A319" t="s">
        <v>4392</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7">
        <v>3</v>
      </c>
      <c r="Z319" s="377">
        <v>1</v>
      </c>
      <c r="AA319" s="377">
        <v>1</v>
      </c>
      <c r="AB319" s="377">
        <v>3</v>
      </c>
      <c r="AC319" s="377">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7">
        <v>3</v>
      </c>
      <c r="Z320" s="377">
        <v>1</v>
      </c>
      <c r="AA320" s="377">
        <v>1</v>
      </c>
      <c r="AB320" s="377">
        <v>3</v>
      </c>
      <c r="AC320" s="377">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7">
        <v>3</v>
      </c>
      <c r="Z321" s="377">
        <v>1</v>
      </c>
      <c r="AA321" s="377">
        <v>1</v>
      </c>
      <c r="AB321" s="377">
        <v>3</v>
      </c>
      <c r="AC321" s="377">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7">
        <v>3</v>
      </c>
      <c r="Z322" s="377">
        <v>1</v>
      </c>
      <c r="AA322" s="377">
        <v>1</v>
      </c>
      <c r="AB322" s="377">
        <v>3</v>
      </c>
      <c r="AC322" s="377">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7">
        <v>3</v>
      </c>
      <c r="Z323" s="377">
        <v>1</v>
      </c>
      <c r="AA323" s="377">
        <v>1</v>
      </c>
      <c r="AB323" s="377">
        <v>3</v>
      </c>
      <c r="AC323" s="377">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7">
        <v>3</v>
      </c>
      <c r="Z324" s="377">
        <v>1</v>
      </c>
      <c r="AA324" s="377">
        <v>1</v>
      </c>
      <c r="AB324" s="377">
        <v>3</v>
      </c>
      <c r="AC324" s="377">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7">
        <v>3</v>
      </c>
      <c r="Z325" s="377">
        <v>1</v>
      </c>
      <c r="AA325" s="377">
        <v>1</v>
      </c>
      <c r="AB325" s="377">
        <v>3</v>
      </c>
      <c r="AC325" s="377">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7">
        <v>3</v>
      </c>
      <c r="Z326" s="377">
        <v>1</v>
      </c>
      <c r="AA326" s="377">
        <v>1</v>
      </c>
      <c r="AB326" s="377">
        <v>3</v>
      </c>
      <c r="AC326" s="377">
        <v>1</v>
      </c>
    </row>
    <row r="327" spans="1:29" x14ac:dyDescent="0.25">
      <c r="A327" t="s">
        <v>4397</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7">
        <v>3</v>
      </c>
      <c r="Z327" s="377">
        <v>1</v>
      </c>
      <c r="AA327" s="377">
        <v>1</v>
      </c>
      <c r="AB327" s="377">
        <v>3</v>
      </c>
      <c r="AC327" s="377">
        <v>1</v>
      </c>
    </row>
    <row r="328" spans="1:29" x14ac:dyDescent="0.25">
      <c r="A328" t="s">
        <v>4397</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7">
        <v>3</v>
      </c>
      <c r="Z328" s="377">
        <v>1</v>
      </c>
      <c r="AA328" s="377">
        <v>1</v>
      </c>
      <c r="AB328" s="377">
        <v>3</v>
      </c>
      <c r="AC328" s="377">
        <v>1</v>
      </c>
    </row>
    <row r="329" spans="1:29" x14ac:dyDescent="0.25">
      <c r="A329" t="s">
        <v>4397</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7">
        <v>3</v>
      </c>
      <c r="Z329" s="377">
        <v>1</v>
      </c>
      <c r="AA329" s="377">
        <v>1</v>
      </c>
      <c r="AB329" s="377">
        <v>3</v>
      </c>
      <c r="AC329" s="377">
        <v>1</v>
      </c>
    </row>
    <row r="330" spans="1:29" x14ac:dyDescent="0.25">
      <c r="A330" t="s">
        <v>4397</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7">
        <v>3</v>
      </c>
      <c r="Z330" s="377">
        <v>1</v>
      </c>
      <c r="AA330" s="377">
        <v>1</v>
      </c>
      <c r="AB330" s="377">
        <v>3</v>
      </c>
      <c r="AC330" s="377">
        <v>1</v>
      </c>
    </row>
    <row r="331" spans="1:29" x14ac:dyDescent="0.25">
      <c r="A331" t="s">
        <v>4397</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7">
        <v>3</v>
      </c>
      <c r="Z331" s="377">
        <v>1</v>
      </c>
      <c r="AA331" s="377">
        <v>1</v>
      </c>
      <c r="AB331" s="377">
        <v>3</v>
      </c>
      <c r="AC331" s="377">
        <v>1</v>
      </c>
    </row>
    <row r="332" spans="1:29" x14ac:dyDescent="0.25">
      <c r="A332" t="s">
        <v>4397</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7">
        <v>3</v>
      </c>
      <c r="Z332" s="377">
        <v>1</v>
      </c>
      <c r="AA332" s="377">
        <v>1</v>
      </c>
      <c r="AB332" s="377">
        <v>3</v>
      </c>
      <c r="AC332" s="377">
        <v>1</v>
      </c>
    </row>
    <row r="333" spans="1:29" x14ac:dyDescent="0.25">
      <c r="A333" t="s">
        <v>4397</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7">
        <v>3</v>
      </c>
      <c r="Z333" s="377">
        <v>1</v>
      </c>
      <c r="AA333" s="377">
        <v>1</v>
      </c>
      <c r="AB333" s="377">
        <v>3</v>
      </c>
      <c r="AC333" s="377">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7">
        <v>3</v>
      </c>
      <c r="Z334" s="377">
        <v>1</v>
      </c>
      <c r="AA334" s="377">
        <v>1</v>
      </c>
      <c r="AB334" s="377">
        <v>3</v>
      </c>
      <c r="AC334" s="377">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7">
        <v>3</v>
      </c>
      <c r="Z335" s="377">
        <v>1</v>
      </c>
      <c r="AA335" s="377">
        <v>1</v>
      </c>
      <c r="AB335" s="377">
        <v>3</v>
      </c>
      <c r="AC335" s="377">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7">
        <v>3</v>
      </c>
      <c r="Z336" s="377">
        <v>1</v>
      </c>
      <c r="AA336" s="377">
        <v>1</v>
      </c>
      <c r="AB336" s="377">
        <v>3</v>
      </c>
      <c r="AC336" s="377">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7">
        <v>3</v>
      </c>
      <c r="Z337" s="377">
        <v>1</v>
      </c>
      <c r="AA337" s="377">
        <v>1</v>
      </c>
      <c r="AB337" s="377">
        <v>3</v>
      </c>
      <c r="AC337" s="377">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7">
        <v>3</v>
      </c>
      <c r="Z338" s="377">
        <v>1</v>
      </c>
      <c r="AA338" s="377">
        <v>1</v>
      </c>
      <c r="AB338" s="377">
        <v>3</v>
      </c>
      <c r="AC338" s="377">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7">
        <v>3</v>
      </c>
      <c r="Z339" s="377">
        <v>1</v>
      </c>
      <c r="AA339" s="377">
        <v>1</v>
      </c>
      <c r="AB339" s="377">
        <v>3</v>
      </c>
      <c r="AC339" s="377">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7">
        <v>3</v>
      </c>
      <c r="Z340" s="377">
        <v>1</v>
      </c>
      <c r="AA340" s="377">
        <v>1</v>
      </c>
      <c r="AB340" s="377">
        <v>3</v>
      </c>
      <c r="AC340" s="377">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7">
        <v>3</v>
      </c>
      <c r="Z341" s="377">
        <v>1</v>
      </c>
      <c r="AA341" s="377">
        <v>1</v>
      </c>
      <c r="AB341" s="377">
        <v>3</v>
      </c>
      <c r="AC341" s="377">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7">
        <v>3</v>
      </c>
      <c r="Z342" s="377">
        <v>1</v>
      </c>
      <c r="AA342" s="377">
        <v>1</v>
      </c>
      <c r="AB342" s="377">
        <v>3</v>
      </c>
      <c r="AC342" s="377">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7">
        <v>3</v>
      </c>
      <c r="Z343" s="377">
        <v>1</v>
      </c>
      <c r="AA343" s="377">
        <v>1</v>
      </c>
      <c r="AB343" s="377">
        <v>3</v>
      </c>
      <c r="AC343" s="377">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7">
        <v>3</v>
      </c>
      <c r="Z344" s="377">
        <v>1</v>
      </c>
      <c r="AA344" s="377">
        <v>1</v>
      </c>
      <c r="AB344" s="377">
        <v>3</v>
      </c>
      <c r="AC344" s="377">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7">
        <v>3</v>
      </c>
      <c r="Z345" s="377">
        <v>1</v>
      </c>
      <c r="AA345" s="377">
        <v>1</v>
      </c>
      <c r="AB345" s="377">
        <v>3</v>
      </c>
      <c r="AC345" s="377">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7">
        <v>3</v>
      </c>
      <c r="Z346" s="377">
        <v>1</v>
      </c>
      <c r="AA346" s="377">
        <v>1</v>
      </c>
      <c r="AB346" s="377">
        <v>3</v>
      </c>
      <c r="AC346" s="377">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7">
        <v>3</v>
      </c>
      <c r="Z347" s="377">
        <v>1</v>
      </c>
      <c r="AA347" s="377">
        <v>1</v>
      </c>
      <c r="AB347" s="377">
        <v>3</v>
      </c>
      <c r="AC347" s="377">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7">
        <v>3</v>
      </c>
      <c r="Z348" s="377">
        <v>1</v>
      </c>
      <c r="AA348" s="377">
        <v>1</v>
      </c>
      <c r="AB348" s="377">
        <v>3</v>
      </c>
      <c r="AC348" s="377">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7">
        <v>3</v>
      </c>
      <c r="Z349" s="377">
        <v>1</v>
      </c>
      <c r="AA349" s="377">
        <v>1</v>
      </c>
      <c r="AB349" s="377">
        <v>3</v>
      </c>
      <c r="AC349" s="377">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7">
        <v>3</v>
      </c>
      <c r="Z350" s="377">
        <v>1</v>
      </c>
      <c r="AA350" s="377">
        <v>1</v>
      </c>
      <c r="AB350" s="377">
        <v>3</v>
      </c>
      <c r="AC350" s="377">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7">
        <v>3</v>
      </c>
      <c r="Z351" s="377">
        <v>1</v>
      </c>
      <c r="AA351" s="377">
        <v>1</v>
      </c>
      <c r="AB351" s="377">
        <v>3</v>
      </c>
      <c r="AC351" s="377">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7">
        <v>3</v>
      </c>
      <c r="Z352" s="377">
        <v>1</v>
      </c>
      <c r="AA352" s="377">
        <v>1</v>
      </c>
      <c r="AB352" s="377">
        <v>3</v>
      </c>
      <c r="AC352" s="377">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7">
        <v>3</v>
      </c>
      <c r="Z353" s="377">
        <v>1</v>
      </c>
      <c r="AA353" s="377">
        <v>1</v>
      </c>
      <c r="AB353" s="377">
        <v>3</v>
      </c>
      <c r="AC353" s="377">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7">
        <v>3</v>
      </c>
      <c r="Z354" s="377">
        <v>1</v>
      </c>
      <c r="AA354" s="377">
        <v>1</v>
      </c>
      <c r="AB354" s="377">
        <v>3</v>
      </c>
      <c r="AC354" s="377">
        <v>1</v>
      </c>
    </row>
    <row r="355" spans="1:29" x14ac:dyDescent="0.25">
      <c r="A355" t="s">
        <v>4422</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7">
        <v>3</v>
      </c>
      <c r="Z355" s="377">
        <v>1</v>
      </c>
      <c r="AA355" s="377">
        <v>1</v>
      </c>
      <c r="AB355" s="377">
        <v>3</v>
      </c>
      <c r="AC355" s="377">
        <v>1</v>
      </c>
    </row>
    <row r="356" spans="1:29" x14ac:dyDescent="0.25">
      <c r="A356" t="s">
        <v>4422</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7">
        <v>3</v>
      </c>
      <c r="Z356" s="377">
        <v>1</v>
      </c>
      <c r="AA356" s="377">
        <v>1</v>
      </c>
      <c r="AB356" s="377">
        <v>3</v>
      </c>
      <c r="AC356" s="377">
        <v>1</v>
      </c>
    </row>
    <row r="357" spans="1:29" x14ac:dyDescent="0.25">
      <c r="A357" t="s">
        <v>4422</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7">
        <v>3</v>
      </c>
      <c r="Z357" s="377">
        <v>1</v>
      </c>
      <c r="AA357" s="377">
        <v>1</v>
      </c>
      <c r="AB357" s="377">
        <v>3</v>
      </c>
      <c r="AC357" s="377">
        <v>1</v>
      </c>
    </row>
    <row r="358" spans="1:29" x14ac:dyDescent="0.25">
      <c r="A358" t="s">
        <v>4422</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7">
        <v>3</v>
      </c>
      <c r="Z358" s="377">
        <v>1</v>
      </c>
      <c r="AA358" s="377">
        <v>1</v>
      </c>
      <c r="AB358" s="377">
        <v>3</v>
      </c>
      <c r="AC358" s="377">
        <v>1</v>
      </c>
    </row>
    <row r="359" spans="1:29" x14ac:dyDescent="0.25">
      <c r="A359" t="s">
        <v>4422</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7">
        <v>3</v>
      </c>
      <c r="Z359" s="377">
        <v>1</v>
      </c>
      <c r="AA359" s="377">
        <v>1</v>
      </c>
      <c r="AB359" s="377">
        <v>3</v>
      </c>
      <c r="AC359" s="377">
        <v>1</v>
      </c>
    </row>
    <row r="360" spans="1:29" x14ac:dyDescent="0.25">
      <c r="A360" t="s">
        <v>4422</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7">
        <v>3</v>
      </c>
      <c r="Z360" s="377">
        <v>1</v>
      </c>
      <c r="AA360" s="377">
        <v>1</v>
      </c>
      <c r="AB360" s="377">
        <v>3</v>
      </c>
      <c r="AC360" s="377">
        <v>1</v>
      </c>
    </row>
    <row r="361" spans="1:29" x14ac:dyDescent="0.25">
      <c r="A361" t="s">
        <v>4422</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7">
        <v>3</v>
      </c>
      <c r="Z361" s="377">
        <v>1</v>
      </c>
      <c r="AA361" s="377">
        <v>1</v>
      </c>
      <c r="AB361" s="377">
        <v>3</v>
      </c>
      <c r="AC361" s="377">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7">
        <v>3</v>
      </c>
      <c r="Z362" s="377">
        <v>1</v>
      </c>
      <c r="AA362" s="377">
        <v>1</v>
      </c>
      <c r="AB362" s="377">
        <v>3</v>
      </c>
      <c r="AC362" s="377">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7">
        <v>3</v>
      </c>
      <c r="Z363" s="377">
        <v>1</v>
      </c>
      <c r="AA363" s="377">
        <v>1</v>
      </c>
      <c r="AB363" s="377">
        <v>3</v>
      </c>
      <c r="AC363" s="377">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7">
        <v>3</v>
      </c>
      <c r="Z364" s="377">
        <v>1</v>
      </c>
      <c r="AA364" s="377">
        <v>1</v>
      </c>
      <c r="AB364" s="377">
        <v>3</v>
      </c>
      <c r="AC364" s="377">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7">
        <v>3</v>
      </c>
      <c r="Z365" s="377">
        <v>1</v>
      </c>
      <c r="AA365" s="377">
        <v>1</v>
      </c>
      <c r="AB365" s="377">
        <v>3</v>
      </c>
      <c r="AC365" s="377">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7">
        <v>3</v>
      </c>
      <c r="Z366" s="377">
        <v>1</v>
      </c>
      <c r="AA366" s="377">
        <v>1</v>
      </c>
      <c r="AB366" s="377">
        <v>3</v>
      </c>
      <c r="AC366" s="377">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7">
        <v>3</v>
      </c>
      <c r="Z367" s="377">
        <v>1</v>
      </c>
      <c r="AA367" s="377">
        <v>1</v>
      </c>
      <c r="AB367" s="377">
        <v>3</v>
      </c>
      <c r="AC367" s="377">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7">
        <v>3</v>
      </c>
      <c r="Z368" s="377">
        <v>1</v>
      </c>
      <c r="AA368" s="377">
        <v>1</v>
      </c>
      <c r="AB368" s="377">
        <v>3</v>
      </c>
      <c r="AC368" s="377">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7">
        <v>3</v>
      </c>
      <c r="Z369" s="377">
        <v>1</v>
      </c>
      <c r="AA369" s="377">
        <v>1</v>
      </c>
      <c r="AB369" s="377">
        <v>3</v>
      </c>
      <c r="AC369" s="377">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7">
        <v>3</v>
      </c>
      <c r="Z370" s="377">
        <v>1</v>
      </c>
      <c r="AA370" s="377">
        <v>1</v>
      </c>
      <c r="AB370" s="377">
        <v>3</v>
      </c>
      <c r="AC370" s="377">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7">
        <v>3</v>
      </c>
      <c r="Z371" s="377">
        <v>1</v>
      </c>
      <c r="AA371" s="377">
        <v>1</v>
      </c>
      <c r="AB371" s="377">
        <v>3</v>
      </c>
      <c r="AC371" s="377">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7">
        <v>3</v>
      </c>
      <c r="Z372" s="377">
        <v>1</v>
      </c>
      <c r="AA372" s="377">
        <v>1</v>
      </c>
      <c r="AB372" s="377">
        <v>3</v>
      </c>
      <c r="AC372" s="377">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7">
        <v>3</v>
      </c>
      <c r="Z373" s="377">
        <v>1</v>
      </c>
      <c r="AA373" s="377">
        <v>1</v>
      </c>
      <c r="AB373" s="377">
        <v>3</v>
      </c>
      <c r="AC373" s="377">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7">
        <v>3</v>
      </c>
      <c r="Z374" s="377">
        <v>1</v>
      </c>
      <c r="AA374" s="377">
        <v>1</v>
      </c>
      <c r="AB374" s="377">
        <v>3</v>
      </c>
      <c r="AC374" s="377">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7">
        <v>3</v>
      </c>
      <c r="Z375" s="377">
        <v>1</v>
      </c>
      <c r="AA375" s="377">
        <v>1</v>
      </c>
      <c r="AB375" s="377">
        <v>3</v>
      </c>
      <c r="AC375" s="377">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7">
        <v>3</v>
      </c>
      <c r="Z376" s="377">
        <v>1</v>
      </c>
      <c r="AA376" s="377">
        <v>1</v>
      </c>
      <c r="AB376" s="377">
        <v>3</v>
      </c>
      <c r="AC376" s="377">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7">
        <v>3</v>
      </c>
      <c r="Z377" s="377">
        <v>1</v>
      </c>
      <c r="AA377" s="377">
        <v>1</v>
      </c>
      <c r="AB377" s="377">
        <v>3</v>
      </c>
      <c r="AC377" s="377">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7">
        <v>3</v>
      </c>
      <c r="Z378" s="377">
        <v>1</v>
      </c>
      <c r="AA378" s="377">
        <v>1</v>
      </c>
      <c r="AB378" s="377">
        <v>3</v>
      </c>
      <c r="AC378" s="377">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7">
        <v>3</v>
      </c>
      <c r="Z379" s="377">
        <v>1</v>
      </c>
      <c r="AA379" s="377">
        <v>1</v>
      </c>
      <c r="AB379" s="377">
        <v>3</v>
      </c>
      <c r="AC379" s="377">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7">
        <v>3</v>
      </c>
      <c r="Z380" s="377">
        <v>1</v>
      </c>
      <c r="AA380" s="377">
        <v>1</v>
      </c>
      <c r="AB380" s="377">
        <v>3</v>
      </c>
      <c r="AC380" s="377">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7">
        <v>3</v>
      </c>
      <c r="Z381" s="377">
        <v>1</v>
      </c>
      <c r="AA381" s="377">
        <v>1</v>
      </c>
      <c r="AB381" s="377">
        <v>3</v>
      </c>
      <c r="AC381" s="377">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7">
        <v>3</v>
      </c>
      <c r="Z382" s="377">
        <v>1</v>
      </c>
      <c r="AA382" s="377">
        <v>1</v>
      </c>
      <c r="AB382" s="377">
        <v>3</v>
      </c>
      <c r="AC382" s="377">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7">
        <v>3</v>
      </c>
      <c r="Z383" s="377">
        <v>1</v>
      </c>
      <c r="AA383" s="377">
        <v>1</v>
      </c>
      <c r="AB383" s="377">
        <v>3</v>
      </c>
      <c r="AC383" s="377">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7">
        <v>3</v>
      </c>
      <c r="Z384" s="377">
        <v>1</v>
      </c>
      <c r="AA384" s="377">
        <v>1</v>
      </c>
      <c r="AB384" s="377">
        <v>3</v>
      </c>
      <c r="AC384" s="377">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7">
        <v>3</v>
      </c>
      <c r="Z385" s="377">
        <v>1</v>
      </c>
      <c r="AA385" s="377">
        <v>1</v>
      </c>
      <c r="AB385" s="377">
        <v>3</v>
      </c>
      <c r="AC385" s="377">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7">
        <v>3</v>
      </c>
      <c r="Z386" s="377">
        <v>1</v>
      </c>
      <c r="AA386" s="377">
        <v>1</v>
      </c>
      <c r="AB386" s="377">
        <v>3</v>
      </c>
      <c r="AC386" s="377">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7">
        <v>3</v>
      </c>
      <c r="Z387" s="377">
        <v>1</v>
      </c>
      <c r="AA387" s="377">
        <v>1</v>
      </c>
      <c r="AB387" s="377">
        <v>3</v>
      </c>
      <c r="AC387" s="377">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7">
        <v>3</v>
      </c>
      <c r="Z388" s="377">
        <v>1</v>
      </c>
      <c r="AA388" s="377">
        <v>1</v>
      </c>
      <c r="AB388" s="377">
        <v>3</v>
      </c>
      <c r="AC388" s="377">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7">
        <v>3</v>
      </c>
      <c r="Z389" s="377">
        <v>1</v>
      </c>
      <c r="AA389" s="377">
        <v>1</v>
      </c>
      <c r="AB389" s="377">
        <v>3</v>
      </c>
      <c r="AC389" s="377">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7">
        <v>3</v>
      </c>
      <c r="Z390" s="377">
        <v>1</v>
      </c>
      <c r="AA390" s="377">
        <v>1</v>
      </c>
      <c r="AB390" s="377">
        <v>3</v>
      </c>
      <c r="AC390" s="377">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7">
        <v>3</v>
      </c>
      <c r="Z391" s="377">
        <v>1</v>
      </c>
      <c r="AA391" s="377">
        <v>1</v>
      </c>
      <c r="AB391" s="377">
        <v>3</v>
      </c>
      <c r="AC391" s="377">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7">
        <v>3</v>
      </c>
      <c r="Z392" s="377">
        <v>1</v>
      </c>
      <c r="AA392" s="377">
        <v>1</v>
      </c>
      <c r="AB392" s="377">
        <v>3</v>
      </c>
      <c r="AC392" s="377">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7">
        <v>3</v>
      </c>
      <c r="Z393" s="377">
        <v>1</v>
      </c>
      <c r="AA393" s="377">
        <v>1</v>
      </c>
      <c r="AB393" s="377">
        <v>3</v>
      </c>
      <c r="AC393" s="377">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7">
        <v>3</v>
      </c>
      <c r="Z394" s="377">
        <v>1</v>
      </c>
      <c r="AA394" s="377">
        <v>1</v>
      </c>
      <c r="AB394" s="377">
        <v>3</v>
      </c>
      <c r="AC394" s="377">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7">
        <v>3</v>
      </c>
      <c r="Z395" s="377">
        <v>1</v>
      </c>
      <c r="AA395" s="377">
        <v>1</v>
      </c>
      <c r="AB395" s="377">
        <v>3</v>
      </c>
      <c r="AC395" s="377">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7">
        <v>3</v>
      </c>
      <c r="Z396" s="377">
        <v>1</v>
      </c>
      <c r="AA396" s="377">
        <v>1</v>
      </c>
      <c r="AB396" s="377">
        <v>3</v>
      </c>
      <c r="AC396" s="377">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7">
        <v>3</v>
      </c>
      <c r="Z397" s="377">
        <v>1</v>
      </c>
      <c r="AA397" s="377">
        <v>1</v>
      </c>
      <c r="AB397" s="377">
        <v>3</v>
      </c>
      <c r="AC397" s="377">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7">
        <v>3</v>
      </c>
      <c r="Z398" s="377">
        <v>1</v>
      </c>
      <c r="AA398" s="377">
        <v>1</v>
      </c>
      <c r="AB398" s="377">
        <v>3</v>
      </c>
      <c r="AC398" s="377">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7">
        <v>3</v>
      </c>
      <c r="Z399" s="377">
        <v>1</v>
      </c>
      <c r="AA399" s="377">
        <v>1</v>
      </c>
      <c r="AB399" s="377">
        <v>3</v>
      </c>
      <c r="AC399" s="377">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7">
        <v>3</v>
      </c>
      <c r="Z400" s="377">
        <v>1</v>
      </c>
      <c r="AA400" s="377">
        <v>1</v>
      </c>
      <c r="AB400" s="377">
        <v>3</v>
      </c>
      <c r="AC400" s="377">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7">
        <v>3</v>
      </c>
      <c r="Z401" s="377">
        <v>1</v>
      </c>
      <c r="AA401" s="377">
        <v>1</v>
      </c>
      <c r="AB401" s="377">
        <v>3</v>
      </c>
      <c r="AC401" s="377">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7">
        <v>3</v>
      </c>
      <c r="Z402" s="377">
        <v>1</v>
      </c>
      <c r="AA402" s="377">
        <v>1</v>
      </c>
      <c r="AB402" s="377">
        <v>3</v>
      </c>
      <c r="AC402" s="377">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7">
        <v>3</v>
      </c>
      <c r="Z403" s="377">
        <v>1</v>
      </c>
      <c r="AA403" s="377">
        <v>1</v>
      </c>
      <c r="AB403" s="377">
        <v>3</v>
      </c>
      <c r="AC403" s="377">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7">
        <v>3</v>
      </c>
      <c r="Z404" s="377">
        <v>1</v>
      </c>
      <c r="AA404" s="377">
        <v>1</v>
      </c>
      <c r="AB404" s="377">
        <v>3</v>
      </c>
      <c r="AC404" s="377">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7">
        <v>3</v>
      </c>
      <c r="Z405" s="377">
        <v>1</v>
      </c>
      <c r="AA405" s="377">
        <v>1</v>
      </c>
      <c r="AB405" s="377">
        <v>3</v>
      </c>
      <c r="AC405" s="377">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7">
        <v>3</v>
      </c>
      <c r="Z406" s="377">
        <v>1</v>
      </c>
      <c r="AA406" s="377">
        <v>1</v>
      </c>
      <c r="AB406" s="377">
        <v>3</v>
      </c>
      <c r="AC406" s="377">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7">
        <v>3</v>
      </c>
      <c r="Z407" s="377">
        <v>1</v>
      </c>
      <c r="AA407" s="377">
        <v>1</v>
      </c>
      <c r="AB407" s="377">
        <v>3</v>
      </c>
      <c r="AC407" s="377">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7">
        <v>3</v>
      </c>
      <c r="Z408" s="377">
        <v>1</v>
      </c>
      <c r="AA408" s="377">
        <v>1</v>
      </c>
      <c r="AB408" s="377">
        <v>3</v>
      </c>
      <c r="AC408" s="377">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7">
        <v>3</v>
      </c>
      <c r="Z409" s="377">
        <v>1</v>
      </c>
      <c r="AA409" s="377">
        <v>1</v>
      </c>
      <c r="AB409" s="377">
        <v>3</v>
      </c>
      <c r="AC409" s="377">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7">
        <v>3</v>
      </c>
      <c r="Z410" s="377">
        <v>1</v>
      </c>
      <c r="AA410" s="377">
        <v>1</v>
      </c>
      <c r="AB410" s="377">
        <v>3</v>
      </c>
      <c r="AC410" s="377">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7">
        <v>3</v>
      </c>
      <c r="Z411" s="377">
        <v>1</v>
      </c>
      <c r="AA411" s="377">
        <v>1</v>
      </c>
      <c r="AB411" s="377">
        <v>3</v>
      </c>
      <c r="AC411" s="377">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7">
        <v>3</v>
      </c>
      <c r="Z412" s="377">
        <v>1</v>
      </c>
      <c r="AA412" s="377">
        <v>1</v>
      </c>
      <c r="AB412" s="377">
        <v>3</v>
      </c>
      <c r="AC412" s="377">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7">
        <v>3</v>
      </c>
      <c r="Z413" s="377">
        <v>1</v>
      </c>
      <c r="AA413" s="377">
        <v>1</v>
      </c>
      <c r="AB413" s="377">
        <v>3</v>
      </c>
      <c r="AC413" s="377">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7">
        <v>3</v>
      </c>
      <c r="Z414" s="377">
        <v>1</v>
      </c>
      <c r="AA414" s="377">
        <v>1</v>
      </c>
      <c r="AB414" s="377">
        <v>3</v>
      </c>
      <c r="AC414" s="377">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7">
        <v>3</v>
      </c>
      <c r="Z415" s="377">
        <v>1</v>
      </c>
      <c r="AA415" s="377">
        <v>1</v>
      </c>
      <c r="AB415" s="377">
        <v>3</v>
      </c>
      <c r="AC415" s="377">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7">
        <v>3</v>
      </c>
      <c r="Z416" s="377">
        <v>1</v>
      </c>
      <c r="AA416" s="377">
        <v>1</v>
      </c>
      <c r="AB416" s="377">
        <v>3</v>
      </c>
      <c r="AC416" s="377">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7">
        <v>3</v>
      </c>
      <c r="Z417" s="377">
        <v>1</v>
      </c>
      <c r="AA417" s="377">
        <v>1</v>
      </c>
      <c r="AB417" s="377">
        <v>3</v>
      </c>
      <c r="AC417" s="377">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7">
        <v>3</v>
      </c>
      <c r="Z418" s="377">
        <v>1</v>
      </c>
      <c r="AA418" s="377">
        <v>1</v>
      </c>
      <c r="AB418" s="377">
        <v>3</v>
      </c>
      <c r="AC418" s="377">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7">
        <v>3</v>
      </c>
      <c r="Z419" s="377">
        <v>1</v>
      </c>
      <c r="AA419" s="377">
        <v>1</v>
      </c>
      <c r="AB419" s="377">
        <v>3</v>
      </c>
      <c r="AC419" s="377">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7">
        <v>3</v>
      </c>
      <c r="Z420" s="377">
        <v>1</v>
      </c>
      <c r="AA420" s="377">
        <v>1</v>
      </c>
      <c r="AB420" s="377">
        <v>3</v>
      </c>
      <c r="AC420" s="377">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7">
        <v>3</v>
      </c>
      <c r="Z421" s="377">
        <v>1</v>
      </c>
      <c r="AA421" s="377">
        <v>1</v>
      </c>
      <c r="AB421" s="377">
        <v>3</v>
      </c>
      <c r="AC421" s="377">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7">
        <v>3</v>
      </c>
      <c r="Z422" s="377">
        <v>1</v>
      </c>
      <c r="AA422" s="377">
        <v>1</v>
      </c>
      <c r="AB422" s="377">
        <v>3</v>
      </c>
      <c r="AC422" s="377">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7">
        <v>3</v>
      </c>
      <c r="Z423" s="377">
        <v>1</v>
      </c>
      <c r="AA423" s="377">
        <v>1</v>
      </c>
      <c r="AB423" s="377">
        <v>3</v>
      </c>
      <c r="AC423" s="377">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7">
        <v>3</v>
      </c>
      <c r="Z424" s="377">
        <v>1</v>
      </c>
      <c r="AA424" s="377">
        <v>1</v>
      </c>
      <c r="AB424" s="377">
        <v>3</v>
      </c>
      <c r="AC424" s="377">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7">
        <v>3</v>
      </c>
      <c r="Z425" s="377">
        <v>1</v>
      </c>
      <c r="AA425" s="377">
        <v>1</v>
      </c>
      <c r="AB425" s="377">
        <v>3</v>
      </c>
      <c r="AC425" s="377">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7">
        <v>3</v>
      </c>
      <c r="Z426" s="377">
        <v>1</v>
      </c>
      <c r="AA426" s="377">
        <v>1</v>
      </c>
      <c r="AB426" s="377">
        <v>3</v>
      </c>
      <c r="AC426" s="377">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7">
        <v>3</v>
      </c>
      <c r="Z427" s="377">
        <v>1</v>
      </c>
      <c r="AA427" s="377">
        <v>1</v>
      </c>
      <c r="AB427" s="377">
        <v>3</v>
      </c>
      <c r="AC427" s="377">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7">
        <v>3</v>
      </c>
      <c r="Z428" s="377">
        <v>1</v>
      </c>
      <c r="AA428" s="377">
        <v>1</v>
      </c>
      <c r="AB428" s="377">
        <v>3</v>
      </c>
      <c r="AC428" s="377">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7">
        <v>3</v>
      </c>
      <c r="Z429" s="377">
        <v>1</v>
      </c>
      <c r="AA429" s="377">
        <v>1</v>
      </c>
      <c r="AB429" s="377">
        <v>3</v>
      </c>
      <c r="AC429" s="377">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7">
        <v>3</v>
      </c>
      <c r="Z430" s="377">
        <v>1</v>
      </c>
      <c r="AA430" s="377">
        <v>1</v>
      </c>
      <c r="AB430" s="377">
        <v>3</v>
      </c>
      <c r="AC430" s="377">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7">
        <v>3</v>
      </c>
      <c r="Z431" s="377">
        <v>1</v>
      </c>
      <c r="AA431" s="377">
        <v>1</v>
      </c>
      <c r="AB431" s="377">
        <v>3</v>
      </c>
      <c r="AC431" s="377">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7">
        <v>3</v>
      </c>
      <c r="Z432" s="377">
        <v>1</v>
      </c>
      <c r="AA432" s="377">
        <v>1</v>
      </c>
      <c r="AB432" s="377">
        <v>3</v>
      </c>
      <c r="AC432" s="377">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7">
        <v>3</v>
      </c>
      <c r="Z433" s="377">
        <v>1</v>
      </c>
      <c r="AA433" s="377">
        <v>1</v>
      </c>
      <c r="AB433" s="377">
        <v>3</v>
      </c>
      <c r="AC433" s="377">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7">
        <v>3</v>
      </c>
      <c r="Z434" s="377">
        <v>1</v>
      </c>
      <c r="AA434" s="377">
        <v>1</v>
      </c>
      <c r="AB434" s="377">
        <v>3</v>
      </c>
      <c r="AC434" s="377">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7">
        <v>3</v>
      </c>
      <c r="Z435" s="377">
        <v>1</v>
      </c>
      <c r="AA435" s="377">
        <v>1</v>
      </c>
      <c r="AB435" s="377">
        <v>3</v>
      </c>
      <c r="AC435" s="377">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7">
        <v>3</v>
      </c>
      <c r="Z436" s="377">
        <v>1</v>
      </c>
      <c r="AA436" s="377">
        <v>1</v>
      </c>
      <c r="AB436" s="377">
        <v>3</v>
      </c>
      <c r="AC436" s="377">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7">
        <v>3</v>
      </c>
      <c r="Z437" s="377">
        <v>1</v>
      </c>
      <c r="AA437" s="377">
        <v>1</v>
      </c>
      <c r="AB437" s="377">
        <v>3</v>
      </c>
      <c r="AC437" s="377">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7">
        <v>3</v>
      </c>
      <c r="Z438" s="377">
        <v>1</v>
      </c>
      <c r="AA438" s="377">
        <v>1</v>
      </c>
      <c r="AB438" s="377">
        <v>3</v>
      </c>
      <c r="AC438" s="377">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7">
        <v>3</v>
      </c>
      <c r="Z439" s="377">
        <v>1</v>
      </c>
      <c r="AA439" s="377">
        <v>1</v>
      </c>
      <c r="AB439" s="377">
        <v>3</v>
      </c>
      <c r="AC439" s="377">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7">
        <v>3</v>
      </c>
      <c r="Z440" s="377">
        <v>1</v>
      </c>
      <c r="AA440" s="377">
        <v>1</v>
      </c>
      <c r="AB440" s="377">
        <v>3</v>
      </c>
      <c r="AC440" s="377">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7">
        <v>3</v>
      </c>
      <c r="Z441" s="377">
        <v>1</v>
      </c>
      <c r="AA441" s="377">
        <v>1</v>
      </c>
      <c r="AB441" s="377">
        <v>3</v>
      </c>
      <c r="AC441" s="377">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7">
        <v>3</v>
      </c>
      <c r="Z442" s="377">
        <v>1</v>
      </c>
      <c r="AA442" s="377">
        <v>1</v>
      </c>
      <c r="AB442" s="377">
        <v>3</v>
      </c>
      <c r="AC442" s="377">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7">
        <v>3</v>
      </c>
      <c r="Z443" s="377">
        <v>1</v>
      </c>
      <c r="AA443" s="377">
        <v>1</v>
      </c>
      <c r="AB443" s="377">
        <v>3</v>
      </c>
      <c r="AC443" s="377">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7">
        <v>3</v>
      </c>
      <c r="Z444" s="377">
        <v>1</v>
      </c>
      <c r="AA444" s="377">
        <v>1</v>
      </c>
      <c r="AB444" s="377">
        <v>3</v>
      </c>
      <c r="AC444" s="377">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7">
        <v>3</v>
      </c>
      <c r="Z445" s="377">
        <v>1</v>
      </c>
      <c r="AA445" s="377">
        <v>1</v>
      </c>
      <c r="AB445" s="377">
        <v>3</v>
      </c>
      <c r="AC445" s="377">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7">
        <v>3</v>
      </c>
      <c r="Z446" s="377">
        <v>1</v>
      </c>
      <c r="AA446" s="377">
        <v>1</v>
      </c>
      <c r="AB446" s="377">
        <v>3</v>
      </c>
      <c r="AC446" s="377">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7">
        <v>3</v>
      </c>
      <c r="Z447" s="377">
        <v>1</v>
      </c>
      <c r="AA447" s="377">
        <v>1</v>
      </c>
      <c r="AB447" s="377">
        <v>3</v>
      </c>
      <c r="AC447" s="377">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7">
        <v>3</v>
      </c>
      <c r="Z448" s="377">
        <v>1</v>
      </c>
      <c r="AA448" s="377">
        <v>1</v>
      </c>
      <c r="AB448" s="377">
        <v>3</v>
      </c>
      <c r="AC448" s="377">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7">
        <v>3</v>
      </c>
      <c r="Z449" s="377">
        <v>1</v>
      </c>
      <c r="AA449" s="377">
        <v>1</v>
      </c>
      <c r="AB449" s="377">
        <v>3</v>
      </c>
      <c r="AC449" s="377">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7">
        <v>3</v>
      </c>
      <c r="Z450" s="377">
        <v>1</v>
      </c>
      <c r="AA450" s="377">
        <v>1</v>
      </c>
      <c r="AB450" s="377">
        <v>3</v>
      </c>
      <c r="AC450" s="377">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7">
        <v>3</v>
      </c>
      <c r="Z451" s="377">
        <v>1</v>
      </c>
      <c r="AA451" s="377">
        <v>1</v>
      </c>
      <c r="AB451" s="377">
        <v>3</v>
      </c>
      <c r="AC451" s="377">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7">
        <v>3</v>
      </c>
      <c r="Z452" s="377">
        <v>1</v>
      </c>
      <c r="AA452" s="377">
        <v>1</v>
      </c>
      <c r="AB452" s="377">
        <v>3</v>
      </c>
      <c r="AC452" s="377">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7">
        <v>4</v>
      </c>
      <c r="Z453" s="377">
        <v>1</v>
      </c>
      <c r="AA453" s="377">
        <v>3</v>
      </c>
      <c r="AB453" s="377">
        <v>2</v>
      </c>
      <c r="AC453" s="377">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7">
        <v>4</v>
      </c>
      <c r="Z454" s="377">
        <v>1</v>
      </c>
      <c r="AA454" s="377">
        <v>3</v>
      </c>
      <c r="AB454" s="377">
        <v>2</v>
      </c>
      <c r="AC454" s="377">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7">
        <v>4</v>
      </c>
      <c r="Z455" s="377">
        <v>1</v>
      </c>
      <c r="AA455" s="377">
        <v>3</v>
      </c>
      <c r="AB455" s="377">
        <v>2</v>
      </c>
      <c r="AC455" s="377">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7">
        <v>4</v>
      </c>
      <c r="Z456" s="377">
        <v>1</v>
      </c>
      <c r="AA456" s="377">
        <v>3</v>
      </c>
      <c r="AB456" s="377">
        <v>2</v>
      </c>
      <c r="AC456" s="377">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7">
        <v>4</v>
      </c>
      <c r="Z457" s="377">
        <v>1</v>
      </c>
      <c r="AA457" s="377">
        <v>3</v>
      </c>
      <c r="AB457" s="377">
        <v>2</v>
      </c>
      <c r="AC457" s="377">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7">
        <v>4</v>
      </c>
      <c r="Z458" s="377">
        <v>1</v>
      </c>
      <c r="AA458" s="377">
        <v>3</v>
      </c>
      <c r="AB458" s="377">
        <v>2</v>
      </c>
      <c r="AC458" s="377">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7">
        <v>4</v>
      </c>
      <c r="Z459" s="377">
        <v>1</v>
      </c>
      <c r="AA459" s="377">
        <v>3</v>
      </c>
      <c r="AB459" s="377">
        <v>2</v>
      </c>
      <c r="AC459" s="377">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7">
        <v>4</v>
      </c>
      <c r="Z460" s="377">
        <v>1</v>
      </c>
      <c r="AA460" s="377">
        <v>3</v>
      </c>
      <c r="AB460" s="377">
        <v>2</v>
      </c>
      <c r="AC460" s="377">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7">
        <v>4</v>
      </c>
      <c r="Z461" s="377">
        <v>1</v>
      </c>
      <c r="AA461" s="377">
        <v>3</v>
      </c>
      <c r="AB461" s="377">
        <v>2</v>
      </c>
      <c r="AC461" s="377">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7">
        <v>4</v>
      </c>
      <c r="Z462" s="377">
        <v>1</v>
      </c>
      <c r="AA462" s="377">
        <v>3</v>
      </c>
      <c r="AB462" s="377">
        <v>2</v>
      </c>
      <c r="AC462" s="377">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7">
        <v>4</v>
      </c>
      <c r="Z463" s="377">
        <v>1</v>
      </c>
      <c r="AA463" s="377">
        <v>3</v>
      </c>
      <c r="AB463" s="377">
        <v>2</v>
      </c>
      <c r="AC463" s="377">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7">
        <v>4</v>
      </c>
      <c r="Z464" s="377">
        <v>1</v>
      </c>
      <c r="AA464" s="377">
        <v>3</v>
      </c>
      <c r="AB464" s="377">
        <v>2</v>
      </c>
      <c r="AC464" s="377">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7">
        <v>4</v>
      </c>
      <c r="Z465" s="377">
        <v>1</v>
      </c>
      <c r="AA465" s="377">
        <v>3</v>
      </c>
      <c r="AB465" s="377">
        <v>2</v>
      </c>
      <c r="AC465" s="377">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7">
        <v>4</v>
      </c>
      <c r="Z466" s="377">
        <v>1</v>
      </c>
      <c r="AA466" s="377">
        <v>3</v>
      </c>
      <c r="AB466" s="377">
        <v>2</v>
      </c>
      <c r="AC466" s="377">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7">
        <v>3</v>
      </c>
      <c r="Z467" s="377">
        <v>1</v>
      </c>
      <c r="AA467" s="377">
        <v>1</v>
      </c>
      <c r="AB467" s="377">
        <v>3</v>
      </c>
      <c r="AC467" s="377">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7">
        <v>3</v>
      </c>
      <c r="Z468" s="377">
        <v>1</v>
      </c>
      <c r="AA468" s="377">
        <v>1</v>
      </c>
      <c r="AB468" s="377">
        <v>3</v>
      </c>
      <c r="AC468" s="377">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7">
        <v>3</v>
      </c>
      <c r="Z469" s="377">
        <v>1</v>
      </c>
      <c r="AA469" s="377">
        <v>1</v>
      </c>
      <c r="AB469" s="377">
        <v>3</v>
      </c>
      <c r="AC469" s="377">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7">
        <v>3</v>
      </c>
      <c r="Z470" s="377">
        <v>1</v>
      </c>
      <c r="AA470" s="377">
        <v>1</v>
      </c>
      <c r="AB470" s="377">
        <v>3</v>
      </c>
      <c r="AC470" s="377">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7">
        <v>3</v>
      </c>
      <c r="Z471" s="377">
        <v>1</v>
      </c>
      <c r="AA471" s="377">
        <v>1</v>
      </c>
      <c r="AB471" s="377">
        <v>3</v>
      </c>
      <c r="AC471" s="377">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7">
        <v>3</v>
      </c>
      <c r="Z472" s="377">
        <v>1</v>
      </c>
      <c r="AA472" s="377">
        <v>1</v>
      </c>
      <c r="AB472" s="377">
        <v>3</v>
      </c>
      <c r="AC472" s="377">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7">
        <v>3</v>
      </c>
      <c r="Z473" s="377">
        <v>1</v>
      </c>
      <c r="AA473" s="377">
        <v>1</v>
      </c>
      <c r="AB473" s="377">
        <v>3</v>
      </c>
      <c r="AC473" s="377">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7">
        <v>3</v>
      </c>
      <c r="Z474" s="377">
        <v>1</v>
      </c>
      <c r="AA474" s="377">
        <v>1</v>
      </c>
      <c r="AB474" s="377">
        <v>3</v>
      </c>
      <c r="AC474" s="377">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7">
        <v>3</v>
      </c>
      <c r="Z475" s="377">
        <v>1</v>
      </c>
      <c r="AA475" s="377">
        <v>1</v>
      </c>
      <c r="AB475" s="377">
        <v>3</v>
      </c>
      <c r="AC475" s="377">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7">
        <v>3</v>
      </c>
      <c r="Z476" s="377">
        <v>1</v>
      </c>
      <c r="AA476" s="377">
        <v>1</v>
      </c>
      <c r="AB476" s="377">
        <v>3</v>
      </c>
      <c r="AC476" s="377">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7">
        <v>3</v>
      </c>
      <c r="Z477" s="377">
        <v>1</v>
      </c>
      <c r="AA477" s="377">
        <v>1</v>
      </c>
      <c r="AB477" s="377">
        <v>3</v>
      </c>
      <c r="AC477" s="377">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7">
        <v>3</v>
      </c>
      <c r="Z478" s="377">
        <v>1</v>
      </c>
      <c r="AA478" s="377">
        <v>1</v>
      </c>
      <c r="AB478" s="377">
        <v>3</v>
      </c>
      <c r="AC478" s="377">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7">
        <v>3</v>
      </c>
      <c r="Z479" s="377">
        <v>1</v>
      </c>
      <c r="AA479" s="377">
        <v>1</v>
      </c>
      <c r="AB479" s="377">
        <v>3</v>
      </c>
      <c r="AC479" s="377">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7">
        <v>3</v>
      </c>
      <c r="Z480" s="377">
        <v>1</v>
      </c>
      <c r="AA480" s="377">
        <v>1</v>
      </c>
      <c r="AB480" s="377">
        <v>3</v>
      </c>
      <c r="AC480" s="377">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7">
        <v>3</v>
      </c>
      <c r="Z481" s="377">
        <v>1</v>
      </c>
      <c r="AA481" s="377">
        <v>1</v>
      </c>
      <c r="AB481" s="377">
        <v>3</v>
      </c>
      <c r="AC481" s="377">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7">
        <v>3</v>
      </c>
      <c r="Z482" s="377">
        <v>1</v>
      </c>
      <c r="AA482" s="377">
        <v>1</v>
      </c>
      <c r="AB482" s="377">
        <v>3</v>
      </c>
      <c r="AC482" s="377">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7">
        <v>3</v>
      </c>
      <c r="Z483" s="377">
        <v>1</v>
      </c>
      <c r="AA483" s="377">
        <v>1</v>
      </c>
      <c r="AB483" s="377">
        <v>3</v>
      </c>
      <c r="AC483" s="377">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7">
        <v>3</v>
      </c>
      <c r="Z484" s="377">
        <v>1</v>
      </c>
      <c r="AA484" s="377">
        <v>1</v>
      </c>
      <c r="AB484" s="377">
        <v>3</v>
      </c>
      <c r="AC484" s="377">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7">
        <v>3</v>
      </c>
      <c r="Z485" s="377">
        <v>1</v>
      </c>
      <c r="AA485" s="377">
        <v>1</v>
      </c>
      <c r="AB485" s="377">
        <v>3</v>
      </c>
      <c r="AC485" s="377">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7">
        <v>3</v>
      </c>
      <c r="Z486" s="377">
        <v>1</v>
      </c>
      <c r="AA486" s="377">
        <v>1</v>
      </c>
      <c r="AB486" s="377">
        <v>3</v>
      </c>
      <c r="AC486" s="377">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7">
        <v>3</v>
      </c>
      <c r="Z487" s="377">
        <v>1</v>
      </c>
      <c r="AA487" s="377">
        <v>1</v>
      </c>
      <c r="AB487" s="377">
        <v>3</v>
      </c>
      <c r="AC487" s="377">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7">
        <v>3</v>
      </c>
      <c r="Z488" s="377">
        <v>1</v>
      </c>
      <c r="AA488" s="377">
        <v>1</v>
      </c>
      <c r="AB488" s="377">
        <v>3</v>
      </c>
      <c r="AC488" s="377">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7">
        <v>3</v>
      </c>
      <c r="Z489" s="377">
        <v>1</v>
      </c>
      <c r="AA489" s="377">
        <v>1</v>
      </c>
      <c r="AB489" s="377">
        <v>3</v>
      </c>
      <c r="AC489" s="377">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7">
        <v>3</v>
      </c>
      <c r="Z490" s="377">
        <v>1</v>
      </c>
      <c r="AA490" s="377">
        <v>1</v>
      </c>
      <c r="AB490" s="377">
        <v>3</v>
      </c>
      <c r="AC490" s="377">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7">
        <v>3</v>
      </c>
      <c r="Z491" s="377">
        <v>1</v>
      </c>
      <c r="AA491" s="377">
        <v>1</v>
      </c>
      <c r="AB491" s="377">
        <v>3</v>
      </c>
      <c r="AC491" s="377">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7">
        <v>3</v>
      </c>
      <c r="Z492" s="377">
        <v>1</v>
      </c>
      <c r="AA492" s="377">
        <v>1</v>
      </c>
      <c r="AB492" s="377">
        <v>3</v>
      </c>
      <c r="AC492" s="377">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7">
        <v>3</v>
      </c>
      <c r="Z493" s="377">
        <v>1</v>
      </c>
      <c r="AA493" s="377">
        <v>1</v>
      </c>
      <c r="AB493" s="377">
        <v>3</v>
      </c>
      <c r="AC493" s="377">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7">
        <v>3</v>
      </c>
      <c r="Z494" s="377">
        <v>1</v>
      </c>
      <c r="AA494" s="377">
        <v>1</v>
      </c>
      <c r="AB494" s="377">
        <v>3</v>
      </c>
      <c r="AC494" s="377">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7">
        <v>3</v>
      </c>
      <c r="Z495" s="377">
        <v>1</v>
      </c>
      <c r="AA495" s="377">
        <v>1</v>
      </c>
      <c r="AB495" s="377">
        <v>3</v>
      </c>
      <c r="AC495" s="377">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7">
        <v>3</v>
      </c>
      <c r="Z496" s="377">
        <v>1</v>
      </c>
      <c r="AA496" s="377">
        <v>1</v>
      </c>
      <c r="AB496" s="377">
        <v>3</v>
      </c>
      <c r="AC496" s="377">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7">
        <v>3</v>
      </c>
      <c r="Z497" s="377">
        <v>1</v>
      </c>
      <c r="AA497" s="377">
        <v>1</v>
      </c>
      <c r="AB497" s="377">
        <v>3</v>
      </c>
      <c r="AC497" s="377">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7">
        <v>3</v>
      </c>
      <c r="Z498" s="377">
        <v>1</v>
      </c>
      <c r="AA498" s="377">
        <v>1</v>
      </c>
      <c r="AB498" s="377">
        <v>3</v>
      </c>
      <c r="AC498" s="377">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7">
        <v>3</v>
      </c>
      <c r="Z499" s="377">
        <v>1</v>
      </c>
      <c r="AA499" s="377">
        <v>1</v>
      </c>
      <c r="AB499" s="377">
        <v>3</v>
      </c>
      <c r="AC499" s="377">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7">
        <v>3</v>
      </c>
      <c r="Z500" s="377">
        <v>1</v>
      </c>
      <c r="AA500" s="377">
        <v>1</v>
      </c>
      <c r="AB500" s="377">
        <v>3</v>
      </c>
      <c r="AC500" s="377">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7">
        <v>3</v>
      </c>
      <c r="Z501" s="377">
        <v>1</v>
      </c>
      <c r="AA501" s="377">
        <v>1</v>
      </c>
      <c r="AB501" s="377">
        <v>3</v>
      </c>
      <c r="AC501" s="377">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7">
        <v>3</v>
      </c>
      <c r="Z502" s="377">
        <v>1</v>
      </c>
      <c r="AA502" s="377">
        <v>1</v>
      </c>
      <c r="AB502" s="377">
        <v>3</v>
      </c>
      <c r="AC502" s="377">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7">
        <v>3</v>
      </c>
      <c r="Z503" s="377">
        <v>1</v>
      </c>
      <c r="AA503" s="377">
        <v>1</v>
      </c>
      <c r="AB503" s="377">
        <v>3</v>
      </c>
      <c r="AC503" s="377">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7">
        <v>3</v>
      </c>
      <c r="Z504" s="377">
        <v>1</v>
      </c>
      <c r="AA504" s="377">
        <v>1</v>
      </c>
      <c r="AB504" s="377">
        <v>3</v>
      </c>
      <c r="AC504" s="377">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7">
        <v>3</v>
      </c>
      <c r="Z505" s="377">
        <v>1</v>
      </c>
      <c r="AA505" s="377">
        <v>1</v>
      </c>
      <c r="AB505" s="377">
        <v>3</v>
      </c>
      <c r="AC505" s="377">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7">
        <v>3</v>
      </c>
      <c r="Z506" s="377">
        <v>1</v>
      </c>
      <c r="AA506" s="377">
        <v>1</v>
      </c>
      <c r="AB506" s="377">
        <v>3</v>
      </c>
      <c r="AC506" s="377">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7">
        <v>3</v>
      </c>
      <c r="Z507" s="377">
        <v>1</v>
      </c>
      <c r="AA507" s="377">
        <v>1</v>
      </c>
      <c r="AB507" s="377">
        <v>3</v>
      </c>
      <c r="AC507" s="377">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7">
        <v>3</v>
      </c>
      <c r="Z508" s="377">
        <v>1</v>
      </c>
      <c r="AA508" s="377">
        <v>1</v>
      </c>
      <c r="AB508" s="377">
        <v>3</v>
      </c>
      <c r="AC508" s="377">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7">
        <v>3</v>
      </c>
      <c r="Z509" s="377">
        <v>1</v>
      </c>
      <c r="AA509" s="377">
        <v>1</v>
      </c>
      <c r="AB509" s="377">
        <v>3</v>
      </c>
      <c r="AC509" s="377">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7">
        <v>3</v>
      </c>
      <c r="Z510" s="377">
        <v>1</v>
      </c>
      <c r="AA510" s="377">
        <v>1</v>
      </c>
      <c r="AB510" s="377">
        <v>3</v>
      </c>
      <c r="AC510" s="377">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7">
        <v>3</v>
      </c>
      <c r="Z511" s="377">
        <v>1</v>
      </c>
      <c r="AA511" s="377">
        <v>1</v>
      </c>
      <c r="AB511" s="377">
        <v>3</v>
      </c>
      <c r="AC511" s="377">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7">
        <v>3</v>
      </c>
      <c r="Z512" s="377">
        <v>1</v>
      </c>
      <c r="AA512" s="377">
        <v>1</v>
      </c>
      <c r="AB512" s="377">
        <v>3</v>
      </c>
      <c r="AC512" s="377">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7">
        <v>3</v>
      </c>
      <c r="Z513" s="377">
        <v>1</v>
      </c>
      <c r="AA513" s="377">
        <v>1</v>
      </c>
      <c r="AB513" s="377">
        <v>3</v>
      </c>
      <c r="AC513" s="377">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7">
        <v>3</v>
      </c>
      <c r="Z514" s="377">
        <v>1</v>
      </c>
      <c r="AA514" s="377">
        <v>1</v>
      </c>
      <c r="AB514" s="377">
        <v>3</v>
      </c>
      <c r="AC514" s="377">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7">
        <v>3</v>
      </c>
      <c r="Z515" s="377">
        <v>1</v>
      </c>
      <c r="AA515" s="377">
        <v>1</v>
      </c>
      <c r="AB515" s="377">
        <v>3</v>
      </c>
      <c r="AC515" s="377">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7">
        <v>3</v>
      </c>
      <c r="Z516" s="377">
        <v>1</v>
      </c>
      <c r="AA516" s="377">
        <v>1</v>
      </c>
      <c r="AB516" s="377">
        <v>3</v>
      </c>
      <c r="AC516" s="377">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7">
        <v>3</v>
      </c>
      <c r="Z517" s="377">
        <v>1</v>
      </c>
      <c r="AA517" s="377">
        <v>1</v>
      </c>
      <c r="AB517" s="377">
        <v>3</v>
      </c>
      <c r="AC517" s="377">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7">
        <v>3</v>
      </c>
      <c r="Z518" s="377">
        <v>1</v>
      </c>
      <c r="AA518" s="377">
        <v>1</v>
      </c>
      <c r="AB518" s="377">
        <v>3</v>
      </c>
      <c r="AC518" s="377">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7">
        <v>3</v>
      </c>
      <c r="Z519" s="377">
        <v>1</v>
      </c>
      <c r="AA519" s="377">
        <v>1</v>
      </c>
      <c r="AB519" s="377">
        <v>3</v>
      </c>
      <c r="AC519" s="377">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7">
        <v>3</v>
      </c>
      <c r="Z520" s="377">
        <v>1</v>
      </c>
      <c r="AA520" s="377">
        <v>1</v>
      </c>
      <c r="AB520" s="377">
        <v>3</v>
      </c>
      <c r="AC520" s="377">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7">
        <v>3</v>
      </c>
      <c r="Z521" s="377">
        <v>1</v>
      </c>
      <c r="AA521" s="377">
        <v>1</v>
      </c>
      <c r="AB521" s="377">
        <v>3</v>
      </c>
      <c r="AC521" s="377">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7">
        <v>3</v>
      </c>
      <c r="Z522" s="377">
        <v>1</v>
      </c>
      <c r="AA522" s="377">
        <v>1</v>
      </c>
      <c r="AB522" s="377">
        <v>3</v>
      </c>
      <c r="AC522" s="377">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7">
        <v>3</v>
      </c>
      <c r="Z523" s="377">
        <v>1</v>
      </c>
      <c r="AA523" s="377">
        <v>1</v>
      </c>
      <c r="AB523" s="377">
        <v>3</v>
      </c>
      <c r="AC523" s="377">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7">
        <v>3</v>
      </c>
      <c r="Z524" s="377">
        <v>1</v>
      </c>
      <c r="AA524" s="377">
        <v>1</v>
      </c>
      <c r="AB524" s="377">
        <v>3</v>
      </c>
      <c r="AC524" s="377">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7">
        <v>3</v>
      </c>
      <c r="Z525" s="377">
        <v>1</v>
      </c>
      <c r="AA525" s="377">
        <v>1</v>
      </c>
      <c r="AB525" s="377">
        <v>3</v>
      </c>
      <c r="AC525" s="377">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7">
        <v>3</v>
      </c>
      <c r="Z526" s="377">
        <v>1</v>
      </c>
      <c r="AA526" s="377">
        <v>1</v>
      </c>
      <c r="AB526" s="377">
        <v>3</v>
      </c>
      <c r="AC526" s="377">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7">
        <v>3</v>
      </c>
      <c r="Z527" s="377">
        <v>1</v>
      </c>
      <c r="AA527" s="377">
        <v>1</v>
      </c>
      <c r="AB527" s="377">
        <v>3</v>
      </c>
      <c r="AC527" s="377">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7">
        <v>3</v>
      </c>
      <c r="Z528" s="377">
        <v>1</v>
      </c>
      <c r="AA528" s="377">
        <v>1</v>
      </c>
      <c r="AB528" s="377">
        <v>3</v>
      </c>
      <c r="AC528" s="377">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7">
        <v>3</v>
      </c>
      <c r="Z529" s="377">
        <v>1</v>
      </c>
      <c r="AA529" s="377">
        <v>1</v>
      </c>
      <c r="AB529" s="377">
        <v>3</v>
      </c>
      <c r="AC529" s="377">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7">
        <v>3</v>
      </c>
      <c r="Z530" s="377">
        <v>1</v>
      </c>
      <c r="AA530" s="377">
        <v>1</v>
      </c>
      <c r="AB530" s="377">
        <v>3</v>
      </c>
      <c r="AC530" s="377">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7">
        <v>3</v>
      </c>
      <c r="Z531" s="377">
        <v>1</v>
      </c>
      <c r="AA531" s="377">
        <v>1</v>
      </c>
      <c r="AB531" s="377">
        <v>3</v>
      </c>
      <c r="AC531" s="377">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7">
        <v>3</v>
      </c>
      <c r="Z532" s="377">
        <v>1</v>
      </c>
      <c r="AA532" s="377">
        <v>1</v>
      </c>
      <c r="AB532" s="377">
        <v>3</v>
      </c>
      <c r="AC532" s="377">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7">
        <v>3</v>
      </c>
      <c r="Z533" s="377">
        <v>1</v>
      </c>
      <c r="AA533" s="377">
        <v>1</v>
      </c>
      <c r="AB533" s="377">
        <v>3</v>
      </c>
      <c r="AC533" s="377">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7">
        <v>3</v>
      </c>
      <c r="Z534" s="377">
        <v>1</v>
      </c>
      <c r="AA534" s="377">
        <v>1</v>
      </c>
      <c r="AB534" s="377">
        <v>3</v>
      </c>
      <c r="AC534" s="377">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7">
        <v>3</v>
      </c>
      <c r="Z535" s="377">
        <v>1</v>
      </c>
      <c r="AA535" s="377">
        <v>1</v>
      </c>
      <c r="AB535" s="377">
        <v>3</v>
      </c>
      <c r="AC535" s="377">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7">
        <v>3</v>
      </c>
      <c r="Z536" s="377">
        <v>1</v>
      </c>
      <c r="AA536" s="377">
        <v>1</v>
      </c>
      <c r="AB536" s="377">
        <v>3</v>
      </c>
      <c r="AC536" s="377">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7">
        <v>3</v>
      </c>
      <c r="Z537" s="377">
        <v>1</v>
      </c>
      <c r="AA537" s="377">
        <v>1</v>
      </c>
      <c r="AB537" s="377">
        <v>3</v>
      </c>
      <c r="AC537" s="377">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7">
        <v>3</v>
      </c>
      <c r="Z538" s="377">
        <v>1</v>
      </c>
      <c r="AA538" s="377">
        <v>1</v>
      </c>
      <c r="AB538" s="377">
        <v>3</v>
      </c>
      <c r="AC538" s="377">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7">
        <v>3</v>
      </c>
      <c r="Z539" s="377">
        <v>1</v>
      </c>
      <c r="AA539" s="377">
        <v>1</v>
      </c>
      <c r="AB539" s="377">
        <v>3</v>
      </c>
      <c r="AC539" s="377">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7">
        <v>3</v>
      </c>
      <c r="Z540" s="377">
        <v>1</v>
      </c>
      <c r="AA540" s="377">
        <v>1</v>
      </c>
      <c r="AB540" s="377">
        <v>3</v>
      </c>
      <c r="AC540" s="377">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7">
        <v>3</v>
      </c>
      <c r="Z541" s="377">
        <v>1</v>
      </c>
      <c r="AA541" s="377">
        <v>1</v>
      </c>
      <c r="AB541" s="377">
        <v>3</v>
      </c>
      <c r="AC541" s="377">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7">
        <v>3</v>
      </c>
      <c r="Z542" s="377">
        <v>1</v>
      </c>
      <c r="AA542" s="377">
        <v>1</v>
      </c>
      <c r="AB542" s="377">
        <v>3</v>
      </c>
      <c r="AC542" s="377">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7">
        <v>3</v>
      </c>
      <c r="Z543" s="377">
        <v>1</v>
      </c>
      <c r="AA543" s="377">
        <v>1</v>
      </c>
      <c r="AB543" s="377">
        <v>3</v>
      </c>
      <c r="AC543" s="377">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7">
        <v>3</v>
      </c>
      <c r="Z544" s="377">
        <v>1</v>
      </c>
      <c r="AA544" s="377">
        <v>1</v>
      </c>
      <c r="AB544" s="377">
        <v>3</v>
      </c>
      <c r="AC544" s="377">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7">
        <v>3</v>
      </c>
      <c r="Z545" s="377">
        <v>1</v>
      </c>
      <c r="AA545" s="377">
        <v>1</v>
      </c>
      <c r="AB545" s="377">
        <v>3</v>
      </c>
      <c r="AC545" s="377">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7">
        <v>3</v>
      </c>
      <c r="Z546" s="377">
        <v>1</v>
      </c>
      <c r="AA546" s="377">
        <v>1</v>
      </c>
      <c r="AB546" s="377">
        <v>3</v>
      </c>
      <c r="AC546" s="377">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7">
        <v>3</v>
      </c>
      <c r="Z547" s="377">
        <v>1</v>
      </c>
      <c r="AA547" s="377">
        <v>1</v>
      </c>
      <c r="AB547" s="377">
        <v>3</v>
      </c>
      <c r="AC547" s="377">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7">
        <v>3</v>
      </c>
      <c r="Z548" s="377">
        <v>1</v>
      </c>
      <c r="AA548" s="377">
        <v>1</v>
      </c>
      <c r="AB548" s="377">
        <v>3</v>
      </c>
      <c r="AC548" s="377">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7">
        <v>3</v>
      </c>
      <c r="Z549" s="377">
        <v>1</v>
      </c>
      <c r="AA549" s="377">
        <v>1</v>
      </c>
      <c r="AB549" s="377">
        <v>3</v>
      </c>
      <c r="AC549" s="377">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7">
        <v>3</v>
      </c>
      <c r="Z550" s="377">
        <v>1</v>
      </c>
      <c r="AA550" s="377">
        <v>1</v>
      </c>
      <c r="AB550" s="377">
        <v>3</v>
      </c>
      <c r="AC550" s="377">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7">
        <v>3</v>
      </c>
      <c r="Z551" s="377">
        <v>1</v>
      </c>
      <c r="AA551" s="377">
        <v>1</v>
      </c>
      <c r="AB551" s="377">
        <v>3</v>
      </c>
      <c r="AC551" s="377">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7">
        <v>3</v>
      </c>
      <c r="Z552" s="377">
        <v>1</v>
      </c>
      <c r="AA552" s="377">
        <v>1</v>
      </c>
      <c r="AB552" s="377">
        <v>3</v>
      </c>
      <c r="AC552" s="377">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7">
        <v>3</v>
      </c>
      <c r="Z553" s="377">
        <v>1</v>
      </c>
      <c r="AA553" s="377">
        <v>1</v>
      </c>
      <c r="AB553" s="377">
        <v>3</v>
      </c>
      <c r="AC553" s="377">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7">
        <v>3</v>
      </c>
      <c r="Z554" s="377">
        <v>1</v>
      </c>
      <c r="AA554" s="377">
        <v>1</v>
      </c>
      <c r="AB554" s="377">
        <v>3</v>
      </c>
      <c r="AC554" s="377">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7">
        <v>3</v>
      </c>
      <c r="Z555" s="377">
        <v>1</v>
      </c>
      <c r="AA555" s="377">
        <v>1</v>
      </c>
      <c r="AB555" s="377">
        <v>3</v>
      </c>
      <c r="AC555" s="377">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7">
        <v>3</v>
      </c>
      <c r="Z556" s="377">
        <v>1</v>
      </c>
      <c r="AA556" s="377">
        <v>1</v>
      </c>
      <c r="AB556" s="377">
        <v>3</v>
      </c>
      <c r="AC556" s="377">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7">
        <v>3</v>
      </c>
      <c r="Z557" s="377">
        <v>1</v>
      </c>
      <c r="AA557" s="377">
        <v>1</v>
      </c>
      <c r="AB557" s="377">
        <v>3</v>
      </c>
      <c r="AC557" s="377">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7">
        <v>3</v>
      </c>
      <c r="Z558" s="377">
        <v>1</v>
      </c>
      <c r="AA558" s="377">
        <v>1</v>
      </c>
      <c r="AB558" s="377">
        <v>3</v>
      </c>
      <c r="AC558" s="377">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7">
        <v>3</v>
      </c>
      <c r="Z559" s="377">
        <v>1</v>
      </c>
      <c r="AA559" s="377">
        <v>1</v>
      </c>
      <c r="AB559" s="377">
        <v>3</v>
      </c>
      <c r="AC559" s="377">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7">
        <v>3</v>
      </c>
      <c r="Z560" s="377">
        <v>1</v>
      </c>
      <c r="AA560" s="377">
        <v>1</v>
      </c>
      <c r="AB560" s="377">
        <v>3</v>
      </c>
      <c r="AC560" s="377">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7">
        <v>3</v>
      </c>
      <c r="Z561" s="377">
        <v>1</v>
      </c>
      <c r="AA561" s="377">
        <v>1</v>
      </c>
      <c r="AB561" s="377">
        <v>3</v>
      </c>
      <c r="AC561" s="377">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7">
        <v>3</v>
      </c>
      <c r="Z562" s="377">
        <v>1</v>
      </c>
      <c r="AA562" s="377">
        <v>1</v>
      </c>
      <c r="AB562" s="377">
        <v>3</v>
      </c>
      <c r="AC562" s="377">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7">
        <v>3</v>
      </c>
      <c r="Z563" s="377">
        <v>1</v>
      </c>
      <c r="AA563" s="377">
        <v>1</v>
      </c>
      <c r="AB563" s="377">
        <v>3</v>
      </c>
      <c r="AC563" s="377">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7">
        <v>3</v>
      </c>
      <c r="Z564" s="377">
        <v>1</v>
      </c>
      <c r="AA564" s="377">
        <v>1</v>
      </c>
      <c r="AB564" s="377">
        <v>3</v>
      </c>
      <c r="AC564" s="377">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7">
        <v>3</v>
      </c>
      <c r="Z565" s="377">
        <v>1</v>
      </c>
      <c r="AA565" s="377">
        <v>1</v>
      </c>
      <c r="AB565" s="377">
        <v>3</v>
      </c>
      <c r="AC565" s="377">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7">
        <v>3</v>
      </c>
      <c r="Z566" s="377">
        <v>1</v>
      </c>
      <c r="AA566" s="377">
        <v>1</v>
      </c>
      <c r="AB566" s="377">
        <v>3</v>
      </c>
      <c r="AC566" s="377">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7">
        <v>3</v>
      </c>
      <c r="Z567" s="377">
        <v>1</v>
      </c>
      <c r="AA567" s="377">
        <v>1</v>
      </c>
      <c r="AB567" s="377">
        <v>3</v>
      </c>
      <c r="AC567" s="377">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7">
        <v>3</v>
      </c>
      <c r="Z568" s="377">
        <v>1</v>
      </c>
      <c r="AA568" s="377">
        <v>1</v>
      </c>
      <c r="AB568" s="377">
        <v>3</v>
      </c>
      <c r="AC568" s="377">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7">
        <v>3</v>
      </c>
      <c r="Z569" s="377">
        <v>1</v>
      </c>
      <c r="AA569" s="377">
        <v>1</v>
      </c>
      <c r="AB569" s="377">
        <v>3</v>
      </c>
      <c r="AC569" s="377">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7">
        <v>3</v>
      </c>
      <c r="Z570" s="377">
        <v>1</v>
      </c>
      <c r="AA570" s="377">
        <v>1</v>
      </c>
      <c r="AB570" s="377">
        <v>3</v>
      </c>
      <c r="AC570" s="377">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7">
        <v>3</v>
      </c>
      <c r="Z571" s="377">
        <v>1</v>
      </c>
      <c r="AA571" s="377">
        <v>1</v>
      </c>
      <c r="AB571" s="377">
        <v>3</v>
      </c>
      <c r="AC571" s="377">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7">
        <v>3</v>
      </c>
      <c r="Z572" s="377">
        <v>1</v>
      </c>
      <c r="AA572" s="377">
        <v>1</v>
      </c>
      <c r="AB572" s="377">
        <v>3</v>
      </c>
      <c r="AC572" s="377">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7">
        <v>3</v>
      </c>
      <c r="Z573" s="377">
        <v>1</v>
      </c>
      <c r="AA573" s="377">
        <v>1</v>
      </c>
      <c r="AB573" s="377">
        <v>3</v>
      </c>
      <c r="AC573" s="377">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7">
        <v>3</v>
      </c>
      <c r="Z574" s="377">
        <v>1</v>
      </c>
      <c r="AA574" s="377">
        <v>1</v>
      </c>
      <c r="AB574" s="377">
        <v>3</v>
      </c>
      <c r="AC574" s="377">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7">
        <v>3</v>
      </c>
      <c r="Z575" s="377">
        <v>1</v>
      </c>
      <c r="AA575" s="377">
        <v>1</v>
      </c>
      <c r="AB575" s="377">
        <v>3</v>
      </c>
      <c r="AC575" s="377">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7">
        <v>3</v>
      </c>
      <c r="Z576" s="377">
        <v>1</v>
      </c>
      <c r="AA576" s="377">
        <v>1</v>
      </c>
      <c r="AB576" s="377">
        <v>3</v>
      </c>
      <c r="AC576" s="377">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7">
        <v>3</v>
      </c>
      <c r="Z577" s="377">
        <v>1</v>
      </c>
      <c r="AA577" s="377">
        <v>1</v>
      </c>
      <c r="AB577" s="377">
        <v>3</v>
      </c>
      <c r="AC577" s="377">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7">
        <v>3</v>
      </c>
      <c r="Z578" s="377">
        <v>1</v>
      </c>
      <c r="AA578" s="377">
        <v>1</v>
      </c>
      <c r="AB578" s="377">
        <v>3</v>
      </c>
      <c r="AC578" s="377">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7">
        <v>3</v>
      </c>
      <c r="Z579" s="377">
        <v>1</v>
      </c>
      <c r="AA579" s="377">
        <v>1</v>
      </c>
      <c r="AB579" s="377">
        <v>3</v>
      </c>
      <c r="AC579" s="377">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7">
        <v>3</v>
      </c>
      <c r="Z580" s="377">
        <v>1</v>
      </c>
      <c r="AA580" s="377">
        <v>1</v>
      </c>
      <c r="AB580" s="377">
        <v>3</v>
      </c>
      <c r="AC580" s="377">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7">
        <v>3</v>
      </c>
      <c r="Z581" s="377">
        <v>1</v>
      </c>
      <c r="AA581" s="377">
        <v>1</v>
      </c>
      <c r="AB581" s="377">
        <v>3</v>
      </c>
      <c r="AC581" s="377">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7">
        <v>3</v>
      </c>
      <c r="Z582" s="377">
        <v>1</v>
      </c>
      <c r="AA582" s="377">
        <v>1</v>
      </c>
      <c r="AB582" s="377">
        <v>3</v>
      </c>
      <c r="AC582" s="377">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7">
        <v>3</v>
      </c>
      <c r="Z583" s="377">
        <v>1</v>
      </c>
      <c r="AA583" s="377">
        <v>1</v>
      </c>
      <c r="AB583" s="377">
        <v>3</v>
      </c>
      <c r="AC583" s="377">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7">
        <v>3</v>
      </c>
      <c r="Z584" s="377">
        <v>1</v>
      </c>
      <c r="AA584" s="377">
        <v>1</v>
      </c>
      <c r="AB584" s="377">
        <v>3</v>
      </c>
      <c r="AC584" s="377">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7">
        <v>3</v>
      </c>
      <c r="Z585" s="377">
        <v>1</v>
      </c>
      <c r="AA585" s="377">
        <v>1</v>
      </c>
      <c r="AB585" s="377">
        <v>3</v>
      </c>
      <c r="AC585" s="377">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7">
        <v>3</v>
      </c>
      <c r="Z586" s="377">
        <v>1</v>
      </c>
      <c r="AA586" s="377">
        <v>1</v>
      </c>
      <c r="AB586" s="377">
        <v>3</v>
      </c>
      <c r="AC586" s="377">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7">
        <v>3</v>
      </c>
      <c r="Z587" s="377">
        <v>1</v>
      </c>
      <c r="AA587" s="377">
        <v>1</v>
      </c>
      <c r="AB587" s="377">
        <v>3</v>
      </c>
      <c r="AC587" s="377">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7">
        <v>3</v>
      </c>
      <c r="Z588" s="377">
        <v>1</v>
      </c>
      <c r="AA588" s="377">
        <v>1</v>
      </c>
      <c r="AB588" s="377">
        <v>3</v>
      </c>
      <c r="AC588" s="377">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7">
        <v>3</v>
      </c>
      <c r="Z589" s="377">
        <v>1</v>
      </c>
      <c r="AA589" s="377">
        <v>1</v>
      </c>
      <c r="AB589" s="377">
        <v>3</v>
      </c>
      <c r="AC589" s="377">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7">
        <v>3</v>
      </c>
      <c r="Z590" s="377">
        <v>1</v>
      </c>
      <c r="AA590" s="377">
        <v>1</v>
      </c>
      <c r="AB590" s="377">
        <v>3</v>
      </c>
      <c r="AC590" s="377">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7">
        <v>3</v>
      </c>
      <c r="Z591" s="377">
        <v>1</v>
      </c>
      <c r="AA591" s="377">
        <v>1</v>
      </c>
      <c r="AB591" s="377">
        <v>3</v>
      </c>
      <c r="AC591" s="377">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7">
        <v>3</v>
      </c>
      <c r="Z592" s="377">
        <v>1</v>
      </c>
      <c r="AA592" s="377">
        <v>1</v>
      </c>
      <c r="AB592" s="377">
        <v>3</v>
      </c>
      <c r="AC592" s="377">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7">
        <v>3</v>
      </c>
      <c r="Z593" s="377">
        <v>1</v>
      </c>
      <c r="AA593" s="377">
        <v>1</v>
      </c>
      <c r="AB593" s="377">
        <v>3</v>
      </c>
      <c r="AC593" s="377">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7">
        <v>3</v>
      </c>
      <c r="Z594" s="377">
        <v>1</v>
      </c>
      <c r="AA594" s="377">
        <v>1</v>
      </c>
      <c r="AB594" s="377">
        <v>3</v>
      </c>
      <c r="AC594" s="377">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7">
        <v>3</v>
      </c>
      <c r="Z595" s="377">
        <v>1</v>
      </c>
      <c r="AA595" s="377">
        <v>1</v>
      </c>
      <c r="AB595" s="377">
        <v>3</v>
      </c>
      <c r="AC595" s="377">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7">
        <v>3</v>
      </c>
      <c r="Z596" s="377">
        <v>1</v>
      </c>
      <c r="AA596" s="377">
        <v>1</v>
      </c>
      <c r="AB596" s="377">
        <v>3</v>
      </c>
      <c r="AC596" s="377">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7">
        <v>3</v>
      </c>
      <c r="Z597" s="377">
        <v>1</v>
      </c>
      <c r="AA597" s="377">
        <v>1</v>
      </c>
      <c r="AB597" s="377">
        <v>3</v>
      </c>
      <c r="AC597" s="377">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7">
        <v>3</v>
      </c>
      <c r="Z598" s="377">
        <v>1</v>
      </c>
      <c r="AA598" s="377">
        <v>1</v>
      </c>
      <c r="AB598" s="377">
        <v>3</v>
      </c>
      <c r="AC598" s="377">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7">
        <v>3</v>
      </c>
      <c r="Z599" s="377">
        <v>1</v>
      </c>
      <c r="AA599" s="377">
        <v>1</v>
      </c>
      <c r="AB599" s="377">
        <v>3</v>
      </c>
      <c r="AC599" s="377">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7">
        <v>3</v>
      </c>
      <c r="Z600" s="377">
        <v>1</v>
      </c>
      <c r="AA600" s="377">
        <v>1</v>
      </c>
      <c r="AB600" s="377">
        <v>3</v>
      </c>
      <c r="AC600" s="377">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7">
        <v>3</v>
      </c>
      <c r="Z601" s="377">
        <v>1</v>
      </c>
      <c r="AA601" s="377">
        <v>1</v>
      </c>
      <c r="AB601" s="377">
        <v>3</v>
      </c>
      <c r="AC601" s="377">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7">
        <v>3</v>
      </c>
      <c r="Z602" s="377">
        <v>1</v>
      </c>
      <c r="AA602" s="377">
        <v>1</v>
      </c>
      <c r="AB602" s="377">
        <v>3</v>
      </c>
      <c r="AC602" s="377">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7">
        <v>3</v>
      </c>
      <c r="Z603" s="377">
        <v>1</v>
      </c>
      <c r="AA603" s="377">
        <v>1</v>
      </c>
      <c r="AB603" s="377">
        <v>3</v>
      </c>
      <c r="AC603" s="377">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7">
        <v>3</v>
      </c>
      <c r="Z604" s="377">
        <v>1</v>
      </c>
      <c r="AA604" s="377">
        <v>1</v>
      </c>
      <c r="AB604" s="377">
        <v>3</v>
      </c>
      <c r="AC604" s="377">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7">
        <v>3</v>
      </c>
      <c r="Z605" s="377">
        <v>1</v>
      </c>
      <c r="AA605" s="377">
        <v>1</v>
      </c>
      <c r="AB605" s="377">
        <v>3</v>
      </c>
      <c r="AC605" s="377">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7">
        <v>3</v>
      </c>
      <c r="Z606" s="377">
        <v>1</v>
      </c>
      <c r="AA606" s="377">
        <v>1</v>
      </c>
      <c r="AB606" s="377">
        <v>3</v>
      </c>
      <c r="AC606" s="377">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7">
        <v>3</v>
      </c>
      <c r="Z607" s="377">
        <v>1</v>
      </c>
      <c r="AA607" s="377">
        <v>1</v>
      </c>
      <c r="AB607" s="377">
        <v>3</v>
      </c>
      <c r="AC607" s="377">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7">
        <v>3</v>
      </c>
      <c r="Z608" s="377">
        <v>1</v>
      </c>
      <c r="AA608" s="377">
        <v>1</v>
      </c>
      <c r="AB608" s="377">
        <v>3</v>
      </c>
      <c r="AC608" s="377">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7">
        <v>3</v>
      </c>
      <c r="Z609" s="377">
        <v>1</v>
      </c>
      <c r="AA609" s="377">
        <v>1</v>
      </c>
      <c r="AB609" s="377">
        <v>3</v>
      </c>
      <c r="AC609" s="377">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7">
        <v>3</v>
      </c>
      <c r="Z610" s="377">
        <v>1</v>
      </c>
      <c r="AA610" s="377">
        <v>1</v>
      </c>
      <c r="AB610" s="377">
        <v>3</v>
      </c>
      <c r="AC610" s="377">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7">
        <v>3</v>
      </c>
      <c r="Z611" s="377">
        <v>1</v>
      </c>
      <c r="AA611" s="377">
        <v>1</v>
      </c>
      <c r="AB611" s="377">
        <v>3</v>
      </c>
      <c r="AC611" s="377">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7">
        <v>3</v>
      </c>
      <c r="Z612" s="377">
        <v>1</v>
      </c>
      <c r="AA612" s="377">
        <v>1</v>
      </c>
      <c r="AB612" s="377">
        <v>3</v>
      </c>
      <c r="AC612" s="377">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7">
        <v>3</v>
      </c>
      <c r="Z613" s="377">
        <v>1</v>
      </c>
      <c r="AA613" s="377">
        <v>1</v>
      </c>
      <c r="AB613" s="377">
        <v>3</v>
      </c>
      <c r="AC613" s="377">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7">
        <v>3</v>
      </c>
      <c r="Z614" s="377">
        <v>1</v>
      </c>
      <c r="AA614" s="377">
        <v>1</v>
      </c>
      <c r="AB614" s="377">
        <v>3</v>
      </c>
      <c r="AC614" s="377">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7">
        <v>3</v>
      </c>
      <c r="Z615" s="377">
        <v>1</v>
      </c>
      <c r="AA615" s="377">
        <v>1</v>
      </c>
      <c r="AB615" s="377">
        <v>3</v>
      </c>
      <c r="AC615" s="377">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7">
        <v>3</v>
      </c>
      <c r="Z616" s="377">
        <v>1</v>
      </c>
      <c r="AA616" s="377">
        <v>1</v>
      </c>
      <c r="AB616" s="377">
        <v>3</v>
      </c>
      <c r="AC616" s="377">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7">
        <v>3</v>
      </c>
      <c r="Z617" s="377">
        <v>1</v>
      </c>
      <c r="AA617" s="377">
        <v>1</v>
      </c>
      <c r="AB617" s="377">
        <v>3</v>
      </c>
      <c r="AC617" s="377">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7">
        <v>3</v>
      </c>
      <c r="Z618" s="377">
        <v>1</v>
      </c>
      <c r="AA618" s="377">
        <v>1</v>
      </c>
      <c r="AB618" s="377">
        <v>3</v>
      </c>
      <c r="AC618" s="377">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7">
        <v>3</v>
      </c>
      <c r="Z619" s="377">
        <v>1</v>
      </c>
      <c r="AA619" s="377">
        <v>1</v>
      </c>
      <c r="AB619" s="377">
        <v>3</v>
      </c>
      <c r="AC619" s="377">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7">
        <v>3</v>
      </c>
      <c r="Z620" s="377">
        <v>1</v>
      </c>
      <c r="AA620" s="377">
        <v>1</v>
      </c>
      <c r="AB620" s="377">
        <v>3</v>
      </c>
      <c r="AC620" s="377">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7">
        <v>3</v>
      </c>
      <c r="Z621" s="377">
        <v>1</v>
      </c>
      <c r="AA621" s="377">
        <v>1</v>
      </c>
      <c r="AB621" s="377">
        <v>3</v>
      </c>
      <c r="AC621" s="377">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7">
        <v>3</v>
      </c>
      <c r="Z622" s="377">
        <v>1</v>
      </c>
      <c r="AA622" s="377">
        <v>1</v>
      </c>
      <c r="AB622" s="377">
        <v>3</v>
      </c>
      <c r="AC622" s="377">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7">
        <v>3</v>
      </c>
      <c r="Z623" s="377">
        <v>1</v>
      </c>
      <c r="AA623" s="377">
        <v>1</v>
      </c>
      <c r="AB623" s="377">
        <v>3</v>
      </c>
      <c r="AC623" s="377">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7">
        <v>3</v>
      </c>
      <c r="Z624" s="377">
        <v>1</v>
      </c>
      <c r="AA624" s="377">
        <v>1</v>
      </c>
      <c r="AB624" s="377">
        <v>3</v>
      </c>
      <c r="AC624" s="377">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377">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7">
        <v>3</v>
      </c>
      <c r="Z626" s="377">
        <v>1</v>
      </c>
      <c r="AA626" s="377">
        <v>1</v>
      </c>
      <c r="AB626" s="377">
        <v>3</v>
      </c>
      <c r="AC626" s="377">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7">
        <v>3</v>
      </c>
      <c r="Z627" s="377">
        <v>1</v>
      </c>
      <c r="AA627" s="377">
        <v>1</v>
      </c>
      <c r="AB627" s="377">
        <v>3</v>
      </c>
      <c r="AC627" s="377">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7">
        <v>3</v>
      </c>
      <c r="Z628" s="377">
        <v>1</v>
      </c>
      <c r="AA628" s="377">
        <v>1</v>
      </c>
      <c r="AB628" s="377">
        <v>3</v>
      </c>
      <c r="AC628" s="377">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7">
        <v>3</v>
      </c>
      <c r="Z629" s="377">
        <v>1</v>
      </c>
      <c r="AA629" s="377">
        <v>1</v>
      </c>
      <c r="AB629" s="377">
        <v>3</v>
      </c>
      <c r="AC629" s="377">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7">
        <v>3</v>
      </c>
      <c r="Z630" s="377">
        <v>1</v>
      </c>
      <c r="AA630" s="377">
        <v>1</v>
      </c>
      <c r="AB630" s="377">
        <v>3</v>
      </c>
      <c r="AC630" s="377">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7">
        <v>3</v>
      </c>
      <c r="Z631" s="377">
        <v>1</v>
      </c>
      <c r="AA631" s="377">
        <v>1</v>
      </c>
      <c r="AB631" s="377">
        <v>3</v>
      </c>
      <c r="AC631" s="377">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7">
        <v>3</v>
      </c>
      <c r="Z632" s="377">
        <v>1</v>
      </c>
      <c r="AA632" s="377">
        <v>1</v>
      </c>
      <c r="AB632" s="377">
        <v>3</v>
      </c>
      <c r="AC632" s="377">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7">
        <v>3</v>
      </c>
      <c r="Z633" s="377">
        <v>1</v>
      </c>
      <c r="AA633" s="377">
        <v>1</v>
      </c>
      <c r="AB633" s="377">
        <v>3</v>
      </c>
      <c r="AC633" s="377">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7">
        <v>3</v>
      </c>
      <c r="Z634" s="377">
        <v>1</v>
      </c>
      <c r="AA634" s="377">
        <v>1</v>
      </c>
      <c r="AB634" s="377">
        <v>3</v>
      </c>
      <c r="AC634" s="377">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7">
        <v>3</v>
      </c>
      <c r="Z635" s="377">
        <v>1</v>
      </c>
      <c r="AA635" s="377">
        <v>1</v>
      </c>
      <c r="AB635" s="377">
        <v>3</v>
      </c>
      <c r="AC635" s="377">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7">
        <v>3</v>
      </c>
      <c r="Z636" s="377">
        <v>1</v>
      </c>
      <c r="AA636" s="377">
        <v>1</v>
      </c>
      <c r="AB636" s="377">
        <v>3</v>
      </c>
      <c r="AC636" s="377">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7">
        <v>3</v>
      </c>
      <c r="Z637" s="377">
        <v>1</v>
      </c>
      <c r="AA637" s="377">
        <v>1</v>
      </c>
      <c r="AB637" s="377">
        <v>3</v>
      </c>
      <c r="AC637" s="377">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7">
        <v>3</v>
      </c>
      <c r="Z638" s="377">
        <v>1</v>
      </c>
      <c r="AA638" s="377">
        <v>1</v>
      </c>
      <c r="AB638" s="377">
        <v>3</v>
      </c>
      <c r="AC638" s="377">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7">
        <v>3</v>
      </c>
      <c r="Z639" s="377">
        <v>1</v>
      </c>
      <c r="AA639" s="377">
        <v>1</v>
      </c>
      <c r="AB639" s="377">
        <v>3</v>
      </c>
      <c r="AC639" s="377">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7">
        <v>3</v>
      </c>
      <c r="Z640" s="377">
        <v>1</v>
      </c>
      <c r="AA640" s="377">
        <v>1</v>
      </c>
      <c r="AB640" s="377">
        <v>3</v>
      </c>
      <c r="AC640" s="377">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7">
        <v>3</v>
      </c>
      <c r="Z641" s="377">
        <v>1</v>
      </c>
      <c r="AA641" s="377">
        <v>1</v>
      </c>
      <c r="AB641" s="377">
        <v>3</v>
      </c>
      <c r="AC641" s="377">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7">
        <v>3</v>
      </c>
      <c r="Z642" s="377">
        <v>1</v>
      </c>
      <c r="AA642" s="377">
        <v>1</v>
      </c>
      <c r="AB642" s="377">
        <v>3</v>
      </c>
      <c r="AC642" s="377">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7">
        <v>3</v>
      </c>
      <c r="Z643" s="377">
        <v>1</v>
      </c>
      <c r="AA643" s="377">
        <v>1</v>
      </c>
      <c r="AB643" s="377">
        <v>3</v>
      </c>
      <c r="AC643" s="377">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7">
        <v>3</v>
      </c>
      <c r="Z644" s="377">
        <v>1</v>
      </c>
      <c r="AA644" s="377">
        <v>1</v>
      </c>
      <c r="AB644" s="377">
        <v>3</v>
      </c>
      <c r="AC644" s="377">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7">
        <v>3</v>
      </c>
      <c r="Z645" s="377">
        <v>1</v>
      </c>
      <c r="AA645" s="377">
        <v>1</v>
      </c>
      <c r="AB645" s="377">
        <v>3</v>
      </c>
      <c r="AC645" s="377">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7">
        <v>3</v>
      </c>
      <c r="Z646" s="377">
        <v>1</v>
      </c>
      <c r="AA646" s="377">
        <v>1</v>
      </c>
      <c r="AB646" s="377">
        <v>3</v>
      </c>
      <c r="AC646" s="377">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7">
        <v>3</v>
      </c>
      <c r="Z647" s="377">
        <v>1</v>
      </c>
      <c r="AA647" s="377">
        <v>1</v>
      </c>
      <c r="AB647" s="377">
        <v>3</v>
      </c>
      <c r="AC647" s="377">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7">
        <v>3</v>
      </c>
      <c r="Z648" s="377">
        <v>1</v>
      </c>
      <c r="AA648" s="377">
        <v>1</v>
      </c>
      <c r="AB648" s="377">
        <v>3</v>
      </c>
      <c r="AC648" s="377">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7">
        <v>3</v>
      </c>
      <c r="Z649" s="377">
        <v>1</v>
      </c>
      <c r="AA649" s="377">
        <v>1</v>
      </c>
      <c r="AB649" s="377">
        <v>3</v>
      </c>
      <c r="AC649" s="377">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7">
        <v>3</v>
      </c>
      <c r="Z650" s="377">
        <v>1</v>
      </c>
      <c r="AA650" s="377">
        <v>1</v>
      </c>
      <c r="AB650" s="377">
        <v>3</v>
      </c>
      <c r="AC650" s="377">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7">
        <v>3</v>
      </c>
      <c r="Z651" s="377">
        <v>1</v>
      </c>
      <c r="AA651" s="377">
        <v>1</v>
      </c>
      <c r="AB651" s="377">
        <v>3</v>
      </c>
      <c r="AC651" s="377">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7">
        <v>3</v>
      </c>
      <c r="Z652" s="377">
        <v>1</v>
      </c>
      <c r="AA652" s="377">
        <v>1</v>
      </c>
      <c r="AB652" s="377">
        <v>3</v>
      </c>
      <c r="AC652" s="377">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7">
        <v>3</v>
      </c>
      <c r="Z653" s="377">
        <v>1</v>
      </c>
      <c r="AA653" s="377">
        <v>1</v>
      </c>
      <c r="AB653" s="377">
        <v>3</v>
      </c>
      <c r="AC653" s="377">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7">
        <v>3</v>
      </c>
      <c r="Z654" s="377">
        <v>1</v>
      </c>
      <c r="AA654" s="377">
        <v>1</v>
      </c>
      <c r="AB654" s="377">
        <v>3</v>
      </c>
      <c r="AC654" s="377">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7">
        <v>3</v>
      </c>
      <c r="Z655" s="377">
        <v>1</v>
      </c>
      <c r="AA655" s="377">
        <v>1</v>
      </c>
      <c r="AB655" s="377">
        <v>3</v>
      </c>
      <c r="AC655" s="377">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7">
        <v>3</v>
      </c>
      <c r="Z656" s="377">
        <v>1</v>
      </c>
      <c r="AA656" s="377">
        <v>1</v>
      </c>
      <c r="AB656" s="377">
        <v>3</v>
      </c>
      <c r="AC656" s="377">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7">
        <v>3</v>
      </c>
      <c r="Z657" s="377">
        <v>1</v>
      </c>
      <c r="AA657" s="377">
        <v>1</v>
      </c>
      <c r="AB657" s="377">
        <v>3</v>
      </c>
      <c r="AC657" s="377">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7">
        <v>3</v>
      </c>
      <c r="Z658" s="377">
        <v>1</v>
      </c>
      <c r="AA658" s="377">
        <v>1</v>
      </c>
      <c r="AB658" s="377">
        <v>3</v>
      </c>
      <c r="AC658" s="377">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7">
        <v>3</v>
      </c>
      <c r="Z659" s="377">
        <v>1</v>
      </c>
      <c r="AA659" s="377">
        <v>1</v>
      </c>
      <c r="AB659" s="377">
        <v>3</v>
      </c>
      <c r="AC659" s="377">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7">
        <v>3</v>
      </c>
      <c r="Z660" s="377">
        <v>1</v>
      </c>
      <c r="AA660" s="377">
        <v>1</v>
      </c>
      <c r="AB660" s="377">
        <v>3</v>
      </c>
      <c r="AC660" s="377">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7">
        <v>3</v>
      </c>
      <c r="Z661" s="377">
        <v>1</v>
      </c>
      <c r="AA661" s="377">
        <v>1</v>
      </c>
      <c r="AB661" s="377">
        <v>3</v>
      </c>
      <c r="AC661" s="377">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7">
        <v>3</v>
      </c>
      <c r="Z662" s="377">
        <v>1</v>
      </c>
      <c r="AA662" s="377">
        <v>1</v>
      </c>
      <c r="AB662" s="377">
        <v>3</v>
      </c>
      <c r="AC662" s="377">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7">
        <v>3</v>
      </c>
      <c r="Z663" s="377">
        <v>1</v>
      </c>
      <c r="AA663" s="377">
        <v>1</v>
      </c>
      <c r="AB663" s="377">
        <v>3</v>
      </c>
      <c r="AC663" s="377">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7">
        <v>3</v>
      </c>
      <c r="Z664" s="377">
        <v>1</v>
      </c>
      <c r="AA664" s="377">
        <v>1</v>
      </c>
      <c r="AB664" s="377">
        <v>3</v>
      </c>
      <c r="AC664" s="377">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7">
        <v>3</v>
      </c>
      <c r="Z665" s="377">
        <v>1</v>
      </c>
      <c r="AA665" s="377">
        <v>1</v>
      </c>
      <c r="AB665" s="377">
        <v>3</v>
      </c>
      <c r="AC665" s="377">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7">
        <v>3</v>
      </c>
      <c r="Z666" s="377">
        <v>1</v>
      </c>
      <c r="AA666" s="377">
        <v>1</v>
      </c>
      <c r="AB666" s="377">
        <v>3</v>
      </c>
      <c r="AC666" s="377">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7">
        <v>3</v>
      </c>
      <c r="Z667" s="377">
        <v>1</v>
      </c>
      <c r="AA667" s="377">
        <v>1</v>
      </c>
      <c r="AB667" s="377">
        <v>3</v>
      </c>
      <c r="AC667" s="377">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7">
        <v>3</v>
      </c>
      <c r="Z668" s="377">
        <v>1</v>
      </c>
      <c r="AA668" s="377">
        <v>1</v>
      </c>
      <c r="AB668" s="377">
        <v>3</v>
      </c>
      <c r="AC668" s="377">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7">
        <v>3</v>
      </c>
      <c r="Z669" s="377">
        <v>1</v>
      </c>
      <c r="AA669" s="377">
        <v>1</v>
      </c>
      <c r="AB669" s="377">
        <v>3</v>
      </c>
      <c r="AC669" s="377">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7">
        <v>3</v>
      </c>
      <c r="Z670" s="377">
        <v>1</v>
      </c>
      <c r="AA670" s="377">
        <v>1</v>
      </c>
      <c r="AB670" s="377">
        <v>3</v>
      </c>
      <c r="AC670" s="377">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7">
        <v>3</v>
      </c>
      <c r="Z671" s="377">
        <v>1</v>
      </c>
      <c r="AA671" s="377">
        <v>1</v>
      </c>
      <c r="AB671" s="377">
        <v>3</v>
      </c>
      <c r="AC671" s="377">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7">
        <v>3</v>
      </c>
      <c r="Z672" s="377">
        <v>1</v>
      </c>
      <c r="AA672" s="377">
        <v>1</v>
      </c>
      <c r="AB672" s="377">
        <v>3</v>
      </c>
      <c r="AC672" s="377">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7">
        <v>3</v>
      </c>
      <c r="Z673" s="377">
        <v>1</v>
      </c>
      <c r="AA673" s="377">
        <v>1</v>
      </c>
      <c r="AB673" s="377">
        <v>3</v>
      </c>
      <c r="AC673" s="377">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7">
        <v>3</v>
      </c>
      <c r="Z674" s="377">
        <v>1</v>
      </c>
      <c r="AA674" s="377">
        <v>1</v>
      </c>
      <c r="AB674" s="377">
        <v>3</v>
      </c>
      <c r="AC674" s="377">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7">
        <v>3</v>
      </c>
      <c r="Z675" s="377">
        <v>1</v>
      </c>
      <c r="AA675" s="377">
        <v>1</v>
      </c>
      <c r="AB675" s="377">
        <v>3</v>
      </c>
      <c r="AC675" s="377">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7">
        <v>3</v>
      </c>
      <c r="Z676" s="377">
        <v>1</v>
      </c>
      <c r="AA676" s="377">
        <v>1</v>
      </c>
      <c r="AB676" s="377">
        <v>3</v>
      </c>
      <c r="AC676" s="377">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7">
        <v>3</v>
      </c>
      <c r="Z677" s="377">
        <v>1</v>
      </c>
      <c r="AA677" s="377">
        <v>1</v>
      </c>
      <c r="AB677" s="377">
        <v>3</v>
      </c>
      <c r="AC677" s="377">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7">
        <v>3</v>
      </c>
      <c r="Z678" s="377">
        <v>1</v>
      </c>
      <c r="AA678" s="377">
        <v>1</v>
      </c>
      <c r="AB678" s="377">
        <v>3</v>
      </c>
      <c r="AC678" s="377">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7">
        <v>3</v>
      </c>
      <c r="Z679" s="377">
        <v>1</v>
      </c>
      <c r="AA679" s="377">
        <v>1</v>
      </c>
      <c r="AB679" s="377">
        <v>3</v>
      </c>
      <c r="AC679" s="377">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7">
        <v>3</v>
      </c>
      <c r="Z680" s="377">
        <v>1</v>
      </c>
      <c r="AA680" s="377">
        <v>1</v>
      </c>
      <c r="AB680" s="377">
        <v>3</v>
      </c>
      <c r="AC680" s="377">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7">
        <v>3</v>
      </c>
      <c r="Z681" s="377">
        <v>1</v>
      </c>
      <c r="AA681" s="377">
        <v>1</v>
      </c>
      <c r="AB681" s="377">
        <v>3</v>
      </c>
      <c r="AC681" s="377">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7">
        <v>3</v>
      </c>
      <c r="Z682" s="377">
        <v>1</v>
      </c>
      <c r="AA682" s="377">
        <v>1</v>
      </c>
      <c r="AB682" s="377">
        <v>3</v>
      </c>
      <c r="AC682" s="377">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7">
        <v>3</v>
      </c>
      <c r="Z683" s="377">
        <v>1</v>
      </c>
      <c r="AA683" s="377">
        <v>1</v>
      </c>
      <c r="AB683" s="377">
        <v>3</v>
      </c>
      <c r="AC683" s="377">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7">
        <v>3</v>
      </c>
      <c r="Z684" s="377">
        <v>1</v>
      </c>
      <c r="AA684" s="377">
        <v>1</v>
      </c>
      <c r="AB684" s="377">
        <v>3</v>
      </c>
      <c r="AC684" s="377">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7">
        <v>3</v>
      </c>
      <c r="Z685" s="377">
        <v>1</v>
      </c>
      <c r="AA685" s="377">
        <v>1</v>
      </c>
      <c r="AB685" s="377">
        <v>3</v>
      </c>
      <c r="AC685" s="377">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7">
        <v>3</v>
      </c>
      <c r="Z686" s="377">
        <v>1</v>
      </c>
      <c r="AA686" s="377">
        <v>1</v>
      </c>
      <c r="AB686" s="377">
        <v>3</v>
      </c>
      <c r="AC686" s="377">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7">
        <v>3</v>
      </c>
      <c r="Z687" s="377">
        <v>1</v>
      </c>
      <c r="AA687" s="377">
        <v>1</v>
      </c>
      <c r="AB687" s="377">
        <v>3</v>
      </c>
      <c r="AC687" s="377">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7">
        <v>3</v>
      </c>
      <c r="Z688" s="377">
        <v>1</v>
      </c>
      <c r="AA688" s="377">
        <v>1</v>
      </c>
      <c r="AB688" s="377">
        <v>3</v>
      </c>
      <c r="AC688" s="377">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7">
        <v>3</v>
      </c>
      <c r="Z689" s="377">
        <v>1</v>
      </c>
      <c r="AA689" s="377">
        <v>1</v>
      </c>
      <c r="AB689" s="377">
        <v>3</v>
      </c>
      <c r="AC689" s="377">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7">
        <v>3</v>
      </c>
      <c r="Z690" s="377">
        <v>1</v>
      </c>
      <c r="AA690" s="377">
        <v>1</v>
      </c>
      <c r="AB690" s="377">
        <v>3</v>
      </c>
      <c r="AC690" s="377">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7">
        <v>3</v>
      </c>
      <c r="Z691" s="377">
        <v>1</v>
      </c>
      <c r="AA691" s="377">
        <v>1</v>
      </c>
      <c r="AB691" s="377">
        <v>3</v>
      </c>
      <c r="AC691" s="377">
        <v>2</v>
      </c>
    </row>
    <row r="692" spans="1:29" x14ac:dyDescent="0.25">
      <c r="A692" t="s">
        <v>2067</v>
      </c>
      <c r="B692" t="s">
        <v>95</v>
      </c>
      <c r="C692" t="s">
        <v>2980</v>
      </c>
      <c r="D692">
        <v>2023</v>
      </c>
      <c r="E692">
        <v>2022</v>
      </c>
      <c r="F692" t="s">
        <v>1783</v>
      </c>
      <c r="G692" s="259">
        <f>CAD2022_to_2020</f>
        <v>0.86269644334160445</v>
      </c>
      <c r="H692">
        <v>2020</v>
      </c>
      <c r="I692" t="s">
        <v>1783</v>
      </c>
      <c r="J692" t="s">
        <v>1849</v>
      </c>
      <c r="K692" s="336">
        <v>2021</v>
      </c>
      <c r="Q692" s="80">
        <f>$AI$164</f>
        <v>31.117460711331674</v>
      </c>
      <c r="S692" s="80"/>
      <c r="X692" s="54" t="s">
        <v>2981</v>
      </c>
      <c r="Y692" s="377">
        <v>1</v>
      </c>
      <c r="Z692" s="377">
        <v>1</v>
      </c>
      <c r="AA692" s="377">
        <v>1</v>
      </c>
      <c r="AB692" s="377">
        <v>1</v>
      </c>
      <c r="AC692" s="377">
        <v>1</v>
      </c>
    </row>
    <row r="693" spans="1:29" x14ac:dyDescent="0.25">
      <c r="A693" t="s">
        <v>2067</v>
      </c>
      <c r="B693" t="s">
        <v>95</v>
      </c>
      <c r="C693" t="s">
        <v>2979</v>
      </c>
      <c r="D693">
        <v>2023</v>
      </c>
      <c r="E693">
        <v>2020</v>
      </c>
      <c r="F693" t="s">
        <v>1783</v>
      </c>
      <c r="G693" s="259">
        <v>1</v>
      </c>
      <c r="H693">
        <v>2020</v>
      </c>
      <c r="I693" t="s">
        <v>1783</v>
      </c>
      <c r="J693" t="s">
        <v>1849</v>
      </c>
      <c r="K693" s="336">
        <v>2025</v>
      </c>
      <c r="Q693" s="80">
        <f t="shared" ref="Q693:Q698" si="105">$Q$692*AX180</f>
        <v>23.651393150621384</v>
      </c>
      <c r="S693" s="80"/>
      <c r="X693" s="54" t="s">
        <v>2984</v>
      </c>
      <c r="Y693" s="377">
        <v>2</v>
      </c>
      <c r="Z693" s="377">
        <v>1</v>
      </c>
      <c r="AA693" s="377">
        <v>1</v>
      </c>
      <c r="AB693" s="377">
        <v>3</v>
      </c>
      <c r="AC693" s="377">
        <v>1</v>
      </c>
    </row>
    <row r="694" spans="1:29" x14ac:dyDescent="0.25">
      <c r="A694" t="s">
        <v>2067</v>
      </c>
      <c r="B694" t="s">
        <v>95</v>
      </c>
      <c r="C694" t="s">
        <v>2979</v>
      </c>
      <c r="D694">
        <v>2023</v>
      </c>
      <c r="E694">
        <v>2020</v>
      </c>
      <c r="F694" t="s">
        <v>1783</v>
      </c>
      <c r="G694" s="259">
        <v>1</v>
      </c>
      <c r="H694">
        <v>2020</v>
      </c>
      <c r="I694" t="s">
        <v>1783</v>
      </c>
      <c r="J694" t="s">
        <v>1849</v>
      </c>
      <c r="K694" s="336">
        <v>2030</v>
      </c>
      <c r="Q694" s="80">
        <f t="shared" si="105"/>
        <v>21.637826450457975</v>
      </c>
      <c r="S694" s="80"/>
      <c r="X694" s="54" t="s">
        <v>2984</v>
      </c>
      <c r="Y694" s="377">
        <v>2</v>
      </c>
      <c r="Z694" s="377">
        <v>1</v>
      </c>
      <c r="AA694" s="377">
        <v>1</v>
      </c>
      <c r="AB694" s="377">
        <v>3</v>
      </c>
      <c r="AC694" s="377">
        <v>1</v>
      </c>
    </row>
    <row r="695" spans="1:29" x14ac:dyDescent="0.25">
      <c r="A695" t="s">
        <v>2067</v>
      </c>
      <c r="B695" t="s">
        <v>95</v>
      </c>
      <c r="C695" t="s">
        <v>2979</v>
      </c>
      <c r="D695">
        <v>2023</v>
      </c>
      <c r="E695">
        <v>2020</v>
      </c>
      <c r="F695" t="s">
        <v>1783</v>
      </c>
      <c r="G695" s="259">
        <v>1</v>
      </c>
      <c r="H695">
        <v>2020</v>
      </c>
      <c r="I695" t="s">
        <v>1783</v>
      </c>
      <c r="J695" t="s">
        <v>1849</v>
      </c>
      <c r="K695" s="336">
        <v>2035</v>
      </c>
      <c r="Q695" s="80">
        <f t="shared" si="105"/>
        <v>22.410678452943703</v>
      </c>
      <c r="S695" s="80"/>
      <c r="X695" s="54" t="s">
        <v>2984</v>
      </c>
      <c r="Y695" s="377">
        <v>2</v>
      </c>
      <c r="Z695" s="377">
        <v>1</v>
      </c>
      <c r="AA695" s="377">
        <v>1</v>
      </c>
      <c r="AB695" s="377">
        <v>3</v>
      </c>
      <c r="AC695" s="377">
        <v>1</v>
      </c>
    </row>
    <row r="696" spans="1:29" x14ac:dyDescent="0.25">
      <c r="A696" t="s">
        <v>2067</v>
      </c>
      <c r="B696" t="s">
        <v>95</v>
      </c>
      <c r="C696" t="s">
        <v>2979</v>
      </c>
      <c r="D696">
        <v>2023</v>
      </c>
      <c r="E696">
        <v>2020</v>
      </c>
      <c r="F696" t="s">
        <v>1783</v>
      </c>
      <c r="G696" s="259">
        <v>1</v>
      </c>
      <c r="H696">
        <v>2020</v>
      </c>
      <c r="I696" t="s">
        <v>1783</v>
      </c>
      <c r="J696" t="s">
        <v>1849</v>
      </c>
      <c r="K696" s="336">
        <v>2040</v>
      </c>
      <c r="Q696" s="80">
        <f t="shared" si="105"/>
        <v>22.86175066250247</v>
      </c>
      <c r="S696" s="80"/>
      <c r="X696" s="54" t="s">
        <v>2984</v>
      </c>
      <c r="Y696" s="377">
        <v>2</v>
      </c>
      <c r="Z696" s="377">
        <v>1</v>
      </c>
      <c r="AA696" s="377">
        <v>1</v>
      </c>
      <c r="AB696" s="377">
        <v>3</v>
      </c>
      <c r="AC696" s="377">
        <v>1</v>
      </c>
    </row>
    <row r="697" spans="1:29" x14ac:dyDescent="0.25">
      <c r="A697" t="s">
        <v>2067</v>
      </c>
      <c r="B697" t="s">
        <v>95</v>
      </c>
      <c r="C697" t="s">
        <v>2979</v>
      </c>
      <c r="D697">
        <v>2023</v>
      </c>
      <c r="E697">
        <v>2020</v>
      </c>
      <c r="F697" t="s">
        <v>1783</v>
      </c>
      <c r="G697" s="259">
        <v>1</v>
      </c>
      <c r="H697">
        <v>2020</v>
      </c>
      <c r="I697" t="s">
        <v>1783</v>
      </c>
      <c r="J697" t="s">
        <v>1849</v>
      </c>
      <c r="K697" s="336">
        <v>2045</v>
      </c>
      <c r="Q697" s="80">
        <f t="shared" si="105"/>
        <v>23.20743880120212</v>
      </c>
      <c r="S697" s="80"/>
      <c r="X697" s="54" t="s">
        <v>2984</v>
      </c>
      <c r="Y697" s="377">
        <v>2</v>
      </c>
      <c r="Z697" s="377">
        <v>1</v>
      </c>
      <c r="AA697" s="377">
        <v>1</v>
      </c>
      <c r="AB697" s="377">
        <v>3</v>
      </c>
      <c r="AC697" s="377">
        <v>1</v>
      </c>
    </row>
    <row r="698" spans="1:29" x14ac:dyDescent="0.25">
      <c r="A698" t="s">
        <v>2067</v>
      </c>
      <c r="B698" t="s">
        <v>95</v>
      </c>
      <c r="C698" t="s">
        <v>2979</v>
      </c>
      <c r="D698">
        <v>2023</v>
      </c>
      <c r="E698">
        <v>2020</v>
      </c>
      <c r="F698" t="s">
        <v>1783</v>
      </c>
      <c r="G698" s="259">
        <v>1</v>
      </c>
      <c r="H698">
        <v>2020</v>
      </c>
      <c r="I698" t="s">
        <v>1783</v>
      </c>
      <c r="J698" t="s">
        <v>1849</v>
      </c>
      <c r="K698" s="336">
        <v>2050</v>
      </c>
      <c r="Q698" s="80">
        <f t="shared" si="105"/>
        <v>23.676954997303842</v>
      </c>
      <c r="S698" s="80"/>
      <c r="X698" s="54" t="s">
        <v>2984</v>
      </c>
      <c r="Y698" s="377">
        <v>2</v>
      </c>
      <c r="Z698" s="377">
        <v>1</v>
      </c>
      <c r="AA698" s="377">
        <v>1</v>
      </c>
      <c r="AB698" s="377">
        <v>3</v>
      </c>
      <c r="AC698" s="377">
        <v>1</v>
      </c>
    </row>
    <row r="699" spans="1:29" x14ac:dyDescent="0.25">
      <c r="A699" t="s">
        <v>2082</v>
      </c>
      <c r="B699" t="s">
        <v>95</v>
      </c>
      <c r="C699" t="s">
        <v>2189</v>
      </c>
      <c r="D699">
        <v>2023</v>
      </c>
      <c r="E699">
        <v>2020</v>
      </c>
      <c r="F699" t="s">
        <v>1783</v>
      </c>
      <c r="G699" s="259">
        <v>1</v>
      </c>
      <c r="H699">
        <v>2020</v>
      </c>
      <c r="I699" t="s">
        <v>1783</v>
      </c>
      <c r="J699" t="s">
        <v>1849</v>
      </c>
      <c r="K699" s="336">
        <v>2021</v>
      </c>
      <c r="Q699" s="80">
        <f>0.5*($AJ$151+$AO$149)+0.5*$AJ$152</f>
        <v>34.28660754896886</v>
      </c>
      <c r="X699" s="54" t="s">
        <v>2878</v>
      </c>
      <c r="Y699" s="377">
        <v>1</v>
      </c>
      <c r="Z699" s="377">
        <v>1</v>
      </c>
      <c r="AA699" s="377">
        <v>1</v>
      </c>
      <c r="AB699" s="377">
        <v>1</v>
      </c>
      <c r="AC699" s="377">
        <v>1</v>
      </c>
    </row>
    <row r="700" spans="1:29" x14ac:dyDescent="0.25">
      <c r="A700" t="s">
        <v>2082</v>
      </c>
      <c r="B700" t="s">
        <v>95</v>
      </c>
      <c r="C700" t="s">
        <v>2189</v>
      </c>
      <c r="D700">
        <v>2023</v>
      </c>
      <c r="E700">
        <v>2020</v>
      </c>
      <c r="F700" t="s">
        <v>1783</v>
      </c>
      <c r="G700" s="259">
        <v>1</v>
      </c>
      <c r="H700">
        <v>2020</v>
      </c>
      <c r="I700" t="s">
        <v>1783</v>
      </c>
      <c r="J700" t="s">
        <v>1849</v>
      </c>
      <c r="K700" s="336">
        <v>2025</v>
      </c>
      <c r="Q700" s="80">
        <f t="shared" ref="Q700:Q705" si="106">0.5*($AJ$151+$AO$149)+0.5*$AJ$152</f>
        <v>34.28660754896886</v>
      </c>
      <c r="X700" s="54" t="s">
        <v>2878</v>
      </c>
      <c r="Y700" s="377">
        <v>2</v>
      </c>
      <c r="Z700" s="377">
        <v>1</v>
      </c>
      <c r="AA700" s="377">
        <v>1</v>
      </c>
      <c r="AB700" s="377">
        <v>1</v>
      </c>
      <c r="AC700" s="377">
        <v>1</v>
      </c>
    </row>
    <row r="701" spans="1:29" x14ac:dyDescent="0.25">
      <c r="A701" t="s">
        <v>2082</v>
      </c>
      <c r="B701" t="s">
        <v>95</v>
      </c>
      <c r="C701" t="s">
        <v>2189</v>
      </c>
      <c r="D701">
        <v>2023</v>
      </c>
      <c r="E701">
        <v>2020</v>
      </c>
      <c r="F701" t="s">
        <v>1783</v>
      </c>
      <c r="G701" s="259">
        <v>1</v>
      </c>
      <c r="H701">
        <v>2020</v>
      </c>
      <c r="I701" t="s">
        <v>1783</v>
      </c>
      <c r="J701" t="s">
        <v>1849</v>
      </c>
      <c r="K701" s="336">
        <v>2030</v>
      </c>
      <c r="Q701" s="80">
        <f t="shared" si="106"/>
        <v>34.28660754896886</v>
      </c>
      <c r="X701" s="54" t="s">
        <v>2878</v>
      </c>
      <c r="Y701" s="377">
        <v>2</v>
      </c>
      <c r="Z701" s="377">
        <v>1</v>
      </c>
      <c r="AA701" s="377">
        <v>1</v>
      </c>
      <c r="AB701" s="377">
        <v>1</v>
      </c>
      <c r="AC701" s="377">
        <v>1</v>
      </c>
    </row>
    <row r="702" spans="1:29" x14ac:dyDescent="0.25">
      <c r="A702" t="s">
        <v>2082</v>
      </c>
      <c r="B702" t="s">
        <v>95</v>
      </c>
      <c r="C702" t="s">
        <v>2189</v>
      </c>
      <c r="D702">
        <v>2023</v>
      </c>
      <c r="E702">
        <v>2020</v>
      </c>
      <c r="F702" t="s">
        <v>1783</v>
      </c>
      <c r="G702" s="259">
        <v>1</v>
      </c>
      <c r="H702">
        <v>2020</v>
      </c>
      <c r="I702" t="s">
        <v>1783</v>
      </c>
      <c r="J702" t="s">
        <v>1849</v>
      </c>
      <c r="K702" s="336">
        <v>2035</v>
      </c>
      <c r="Q702" s="80">
        <f t="shared" si="106"/>
        <v>34.28660754896886</v>
      </c>
      <c r="X702" s="54" t="s">
        <v>2878</v>
      </c>
      <c r="Y702" s="377">
        <v>2</v>
      </c>
      <c r="Z702" s="377">
        <v>1</v>
      </c>
      <c r="AA702" s="377">
        <v>1</v>
      </c>
      <c r="AB702" s="377">
        <v>1</v>
      </c>
      <c r="AC702" s="377">
        <v>1</v>
      </c>
    </row>
    <row r="703" spans="1:29" x14ac:dyDescent="0.25">
      <c r="A703" t="s">
        <v>2082</v>
      </c>
      <c r="B703" t="s">
        <v>95</v>
      </c>
      <c r="C703" t="s">
        <v>2189</v>
      </c>
      <c r="D703">
        <v>2023</v>
      </c>
      <c r="E703">
        <v>2020</v>
      </c>
      <c r="F703" t="s">
        <v>1783</v>
      </c>
      <c r="G703" s="259">
        <v>1</v>
      </c>
      <c r="H703">
        <v>2020</v>
      </c>
      <c r="I703" t="s">
        <v>1783</v>
      </c>
      <c r="J703" t="s">
        <v>1849</v>
      </c>
      <c r="K703" s="336">
        <v>2040</v>
      </c>
      <c r="Q703" s="80">
        <f t="shared" si="106"/>
        <v>34.28660754896886</v>
      </c>
      <c r="X703" s="54" t="s">
        <v>2878</v>
      </c>
      <c r="Y703" s="377">
        <v>2</v>
      </c>
      <c r="Z703" s="377">
        <v>1</v>
      </c>
      <c r="AA703" s="377">
        <v>1</v>
      </c>
      <c r="AB703" s="377">
        <v>1</v>
      </c>
      <c r="AC703" s="377">
        <v>1</v>
      </c>
    </row>
    <row r="704" spans="1:29" x14ac:dyDescent="0.25">
      <c r="A704" t="s">
        <v>2082</v>
      </c>
      <c r="B704" t="s">
        <v>95</v>
      </c>
      <c r="C704" t="s">
        <v>2189</v>
      </c>
      <c r="D704">
        <v>2023</v>
      </c>
      <c r="E704">
        <v>2020</v>
      </c>
      <c r="F704" t="s">
        <v>1783</v>
      </c>
      <c r="G704" s="259">
        <v>1</v>
      </c>
      <c r="H704">
        <v>2020</v>
      </c>
      <c r="I704" t="s">
        <v>1783</v>
      </c>
      <c r="J704" t="s">
        <v>1849</v>
      </c>
      <c r="K704" s="336">
        <v>2045</v>
      </c>
      <c r="Q704" s="80">
        <f t="shared" si="106"/>
        <v>34.28660754896886</v>
      </c>
      <c r="X704" s="54" t="s">
        <v>2878</v>
      </c>
      <c r="Y704" s="377">
        <v>2</v>
      </c>
      <c r="Z704" s="377">
        <v>1</v>
      </c>
      <c r="AA704" s="377">
        <v>1</v>
      </c>
      <c r="AB704" s="377">
        <v>1</v>
      </c>
      <c r="AC704" s="377">
        <v>1</v>
      </c>
    </row>
    <row r="705" spans="1:29" x14ac:dyDescent="0.25">
      <c r="A705" t="s">
        <v>2082</v>
      </c>
      <c r="B705" t="s">
        <v>95</v>
      </c>
      <c r="C705" t="s">
        <v>2189</v>
      </c>
      <c r="D705">
        <v>2023</v>
      </c>
      <c r="E705">
        <v>2020</v>
      </c>
      <c r="F705" t="s">
        <v>1783</v>
      </c>
      <c r="G705" s="259">
        <v>1</v>
      </c>
      <c r="H705">
        <v>2020</v>
      </c>
      <c r="I705" t="s">
        <v>1783</v>
      </c>
      <c r="J705" t="s">
        <v>1849</v>
      </c>
      <c r="K705" s="336">
        <v>2050</v>
      </c>
      <c r="Q705" s="80">
        <f t="shared" si="106"/>
        <v>34.28660754896886</v>
      </c>
      <c r="X705" s="54" t="s">
        <v>2878</v>
      </c>
      <c r="Y705" s="377">
        <v>2</v>
      </c>
      <c r="Z705" s="377">
        <v>1</v>
      </c>
      <c r="AA705" s="377">
        <v>1</v>
      </c>
      <c r="AB705" s="377">
        <v>1</v>
      </c>
      <c r="AC705" s="377">
        <v>1</v>
      </c>
    </row>
    <row r="706" spans="1:29" x14ac:dyDescent="0.25">
      <c r="A706" t="s">
        <v>2068</v>
      </c>
      <c r="B706" t="s">
        <v>95</v>
      </c>
      <c r="C706" t="s">
        <v>2980</v>
      </c>
      <c r="D706">
        <v>2023</v>
      </c>
      <c r="E706">
        <v>2022</v>
      </c>
      <c r="F706" t="s">
        <v>1783</v>
      </c>
      <c r="G706" s="259">
        <f>CAD2022_to_2020</f>
        <v>0.86269644334160445</v>
      </c>
      <c r="H706">
        <v>2020</v>
      </c>
      <c r="I706" t="s">
        <v>1783</v>
      </c>
      <c r="J706" t="s">
        <v>1849</v>
      </c>
      <c r="K706" s="336">
        <v>2021</v>
      </c>
      <c r="Q706" s="80">
        <f>($AI$163-($AJ$149+$AO$148)*0.1)/0.9</f>
        <v>35.436907373336922</v>
      </c>
      <c r="S706" s="80"/>
      <c r="X706" s="54" t="s">
        <v>2985</v>
      </c>
      <c r="Y706" s="377">
        <v>2</v>
      </c>
      <c r="Z706" s="377">
        <v>1</v>
      </c>
      <c r="AA706" s="377">
        <v>1</v>
      </c>
      <c r="AB706" s="377">
        <v>1</v>
      </c>
      <c r="AC706" s="377">
        <v>1</v>
      </c>
    </row>
    <row r="707" spans="1:29" x14ac:dyDescent="0.25">
      <c r="A707" t="s">
        <v>2068</v>
      </c>
      <c r="B707" t="s">
        <v>95</v>
      </c>
      <c r="C707" t="s">
        <v>2979</v>
      </c>
      <c r="D707">
        <v>2023</v>
      </c>
      <c r="E707">
        <v>2020</v>
      </c>
      <c r="F707" t="s">
        <v>1783</v>
      </c>
      <c r="G707" s="259">
        <v>1</v>
      </c>
      <c r="H707">
        <v>2020</v>
      </c>
      <c r="I707" t="s">
        <v>1783</v>
      </c>
      <c r="J707" t="s">
        <v>1849</v>
      </c>
      <c r="K707" s="336">
        <v>2025</v>
      </c>
      <c r="Q707" s="80">
        <f t="shared" ref="Q707:Q712" si="107">$Q$706*AY180</f>
        <v>24.740567518446731</v>
      </c>
      <c r="S707" s="80"/>
      <c r="X707" s="54" t="s">
        <v>2986</v>
      </c>
      <c r="Y707" s="377">
        <v>2</v>
      </c>
      <c r="Z707" s="377">
        <v>1</v>
      </c>
      <c r="AA707" s="377">
        <v>1</v>
      </c>
      <c r="AB707" s="377">
        <v>3</v>
      </c>
      <c r="AC707" s="377">
        <v>1</v>
      </c>
    </row>
    <row r="708" spans="1:29" x14ac:dyDescent="0.25">
      <c r="A708" t="s">
        <v>2068</v>
      </c>
      <c r="B708" t="s">
        <v>95</v>
      </c>
      <c r="C708" t="s">
        <v>2979</v>
      </c>
      <c r="D708">
        <v>2023</v>
      </c>
      <c r="E708">
        <v>2020</v>
      </c>
      <c r="F708" t="s">
        <v>1783</v>
      </c>
      <c r="G708" s="259">
        <v>1</v>
      </c>
      <c r="H708">
        <v>2020</v>
      </c>
      <c r="I708" t="s">
        <v>1783</v>
      </c>
      <c r="J708" t="s">
        <v>1849</v>
      </c>
      <c r="K708" s="336">
        <v>2030</v>
      </c>
      <c r="Q708" s="80">
        <f t="shared" si="107"/>
        <v>24.60375725434373</v>
      </c>
      <c r="S708" s="80"/>
      <c r="X708" s="54" t="s">
        <v>2986</v>
      </c>
      <c r="Y708" s="377">
        <v>2</v>
      </c>
      <c r="Z708" s="377">
        <v>1</v>
      </c>
      <c r="AA708" s="377">
        <v>1</v>
      </c>
      <c r="AB708" s="377">
        <v>3</v>
      </c>
      <c r="AC708" s="377">
        <v>1</v>
      </c>
    </row>
    <row r="709" spans="1:29" x14ac:dyDescent="0.25">
      <c r="A709" t="s">
        <v>2068</v>
      </c>
      <c r="B709" t="s">
        <v>95</v>
      </c>
      <c r="C709" t="s">
        <v>2979</v>
      </c>
      <c r="D709">
        <v>2023</v>
      </c>
      <c r="E709">
        <v>2020</v>
      </c>
      <c r="F709" t="s">
        <v>1783</v>
      </c>
      <c r="G709" s="259">
        <v>1</v>
      </c>
      <c r="H709">
        <v>2020</v>
      </c>
      <c r="I709" t="s">
        <v>1783</v>
      </c>
      <c r="J709" t="s">
        <v>1849</v>
      </c>
      <c r="K709" s="336">
        <v>2035</v>
      </c>
      <c r="Q709" s="80">
        <f t="shared" si="107"/>
        <v>25.149562343929073</v>
      </c>
      <c r="S709" s="80"/>
      <c r="X709" s="54" t="s">
        <v>2986</v>
      </c>
      <c r="Y709" s="377">
        <v>2</v>
      </c>
      <c r="Z709" s="377">
        <v>1</v>
      </c>
      <c r="AA709" s="377">
        <v>1</v>
      </c>
      <c r="AB709" s="377">
        <v>3</v>
      </c>
      <c r="AC709" s="377">
        <v>1</v>
      </c>
    </row>
    <row r="710" spans="1:29" x14ac:dyDescent="0.25">
      <c r="A710" t="s">
        <v>2068</v>
      </c>
      <c r="B710" t="s">
        <v>95</v>
      </c>
      <c r="C710" t="s">
        <v>2979</v>
      </c>
      <c r="D710">
        <v>2023</v>
      </c>
      <c r="E710">
        <v>2020</v>
      </c>
      <c r="F710" t="s">
        <v>1783</v>
      </c>
      <c r="G710" s="259">
        <v>1</v>
      </c>
      <c r="H710">
        <v>2020</v>
      </c>
      <c r="I710" t="s">
        <v>1783</v>
      </c>
      <c r="J710" t="s">
        <v>1849</v>
      </c>
      <c r="K710" s="336">
        <v>2040</v>
      </c>
      <c r="Q710" s="80">
        <f t="shared" si="107"/>
        <v>25.97445643812884</v>
      </c>
      <c r="S710" s="80"/>
      <c r="X710" s="54" t="s">
        <v>2986</v>
      </c>
      <c r="Y710" s="377">
        <v>2</v>
      </c>
      <c r="Z710" s="377">
        <v>1</v>
      </c>
      <c r="AA710" s="377">
        <v>1</v>
      </c>
      <c r="AB710" s="377">
        <v>3</v>
      </c>
      <c r="AC710" s="377">
        <v>1</v>
      </c>
    </row>
    <row r="711" spans="1:29" x14ac:dyDescent="0.25">
      <c r="A711" t="s">
        <v>2068</v>
      </c>
      <c r="B711" t="s">
        <v>95</v>
      </c>
      <c r="C711" t="s">
        <v>2979</v>
      </c>
      <c r="D711">
        <v>2023</v>
      </c>
      <c r="E711">
        <v>2020</v>
      </c>
      <c r="F711" t="s">
        <v>1783</v>
      </c>
      <c r="G711" s="259">
        <v>1</v>
      </c>
      <c r="H711">
        <v>2020</v>
      </c>
      <c r="I711" t="s">
        <v>1783</v>
      </c>
      <c r="J711" t="s">
        <v>1849</v>
      </c>
      <c r="K711" s="336">
        <v>2045</v>
      </c>
      <c r="Q711" s="80">
        <f t="shared" si="107"/>
        <v>26.276865150592894</v>
      </c>
      <c r="S711" s="80"/>
      <c r="X711" s="54" t="s">
        <v>2986</v>
      </c>
      <c r="Y711" s="377">
        <v>2</v>
      </c>
      <c r="Z711" s="377">
        <v>1</v>
      </c>
      <c r="AA711" s="377">
        <v>1</v>
      </c>
      <c r="AB711" s="377">
        <v>3</v>
      </c>
      <c r="AC711" s="377">
        <v>1</v>
      </c>
    </row>
    <row r="712" spans="1:29" x14ac:dyDescent="0.25">
      <c r="A712" t="s">
        <v>2068</v>
      </c>
      <c r="B712" t="s">
        <v>95</v>
      </c>
      <c r="C712" t="s">
        <v>2979</v>
      </c>
      <c r="D712">
        <v>2023</v>
      </c>
      <c r="E712">
        <v>2020</v>
      </c>
      <c r="F712" t="s">
        <v>1783</v>
      </c>
      <c r="G712" s="259">
        <v>1</v>
      </c>
      <c r="H712">
        <v>2020</v>
      </c>
      <c r="I712" t="s">
        <v>1783</v>
      </c>
      <c r="J712" t="s">
        <v>1849</v>
      </c>
      <c r="K712" s="336">
        <v>2050</v>
      </c>
      <c r="Q712" s="80">
        <f t="shared" si="107"/>
        <v>27.472612430865112</v>
      </c>
      <c r="S712" s="80"/>
      <c r="X712" s="54" t="s">
        <v>2986</v>
      </c>
      <c r="Y712" s="377">
        <v>2</v>
      </c>
      <c r="Z712" s="377">
        <v>1</v>
      </c>
      <c r="AA712" s="377">
        <v>1</v>
      </c>
      <c r="AB712" s="377">
        <v>3</v>
      </c>
      <c r="AC712" s="377">
        <v>1</v>
      </c>
    </row>
    <row r="713" spans="1:29" x14ac:dyDescent="0.25">
      <c r="A713" t="s">
        <v>2077</v>
      </c>
      <c r="B713" t="s">
        <v>95</v>
      </c>
      <c r="C713" t="s">
        <v>2189</v>
      </c>
      <c r="D713">
        <v>2023</v>
      </c>
      <c r="E713">
        <v>2020</v>
      </c>
      <c r="F713" t="s">
        <v>1783</v>
      </c>
      <c r="G713" s="259">
        <v>1</v>
      </c>
      <c r="H713">
        <v>2020</v>
      </c>
      <c r="I713" t="s">
        <v>1783</v>
      </c>
      <c r="J713" t="s">
        <v>1849</v>
      </c>
      <c r="K713" s="336">
        <v>2021</v>
      </c>
      <c r="Q713" s="80">
        <f>$AJ$149+$AO$148</f>
        <v>25.80133239927283</v>
      </c>
      <c r="X713" s="54" t="s">
        <v>2879</v>
      </c>
      <c r="Y713" s="377">
        <v>1</v>
      </c>
      <c r="Z713" s="377">
        <v>1</v>
      </c>
      <c r="AA713" s="377">
        <v>1</v>
      </c>
      <c r="AB713" s="377">
        <v>1</v>
      </c>
      <c r="AC713" s="377">
        <v>1</v>
      </c>
    </row>
    <row r="714" spans="1:29" x14ac:dyDescent="0.25">
      <c r="A714" t="s">
        <v>2077</v>
      </c>
      <c r="B714" t="s">
        <v>95</v>
      </c>
      <c r="C714" t="s">
        <v>2189</v>
      </c>
      <c r="D714">
        <v>2023</v>
      </c>
      <c r="E714">
        <v>2020</v>
      </c>
      <c r="F714" t="s">
        <v>1783</v>
      </c>
      <c r="G714" s="259">
        <v>1</v>
      </c>
      <c r="H714">
        <v>2020</v>
      </c>
      <c r="I714" t="s">
        <v>1783</v>
      </c>
      <c r="J714" t="s">
        <v>1849</v>
      </c>
      <c r="K714" s="336">
        <v>2025</v>
      </c>
      <c r="Q714" s="80">
        <f t="shared" ref="Q714:Q719" si="108">$AJ$149+$AO$148</f>
        <v>25.80133239927283</v>
      </c>
      <c r="X714" s="54" t="s">
        <v>2879</v>
      </c>
      <c r="Y714" s="377">
        <v>2</v>
      </c>
      <c r="Z714" s="377">
        <v>1</v>
      </c>
      <c r="AA714" s="377">
        <v>1</v>
      </c>
      <c r="AB714" s="377">
        <v>1</v>
      </c>
      <c r="AC714" s="377">
        <v>1</v>
      </c>
    </row>
    <row r="715" spans="1:29" x14ac:dyDescent="0.25">
      <c r="A715" t="s">
        <v>2077</v>
      </c>
      <c r="B715" t="s">
        <v>95</v>
      </c>
      <c r="C715" t="s">
        <v>2189</v>
      </c>
      <c r="D715">
        <v>2023</v>
      </c>
      <c r="E715">
        <v>2020</v>
      </c>
      <c r="F715" t="s">
        <v>1783</v>
      </c>
      <c r="G715" s="259">
        <v>1</v>
      </c>
      <c r="H715">
        <v>2020</v>
      </c>
      <c r="I715" t="s">
        <v>1783</v>
      </c>
      <c r="J715" t="s">
        <v>1849</v>
      </c>
      <c r="K715" s="336">
        <v>2030</v>
      </c>
      <c r="Q715" s="80">
        <f t="shared" si="108"/>
        <v>25.80133239927283</v>
      </c>
      <c r="X715" s="54" t="s">
        <v>2879</v>
      </c>
      <c r="Y715" s="377">
        <v>2</v>
      </c>
      <c r="Z715" s="377">
        <v>1</v>
      </c>
      <c r="AA715" s="377">
        <v>1</v>
      </c>
      <c r="AB715" s="377">
        <v>1</v>
      </c>
      <c r="AC715" s="377">
        <v>1</v>
      </c>
    </row>
    <row r="716" spans="1:29" x14ac:dyDescent="0.25">
      <c r="A716" t="s">
        <v>2077</v>
      </c>
      <c r="B716" t="s">
        <v>95</v>
      </c>
      <c r="C716" t="s">
        <v>2189</v>
      </c>
      <c r="D716">
        <v>2023</v>
      </c>
      <c r="E716">
        <v>2020</v>
      </c>
      <c r="F716" t="s">
        <v>1783</v>
      </c>
      <c r="G716" s="259">
        <v>1</v>
      </c>
      <c r="H716">
        <v>2020</v>
      </c>
      <c r="I716" t="s">
        <v>1783</v>
      </c>
      <c r="J716" t="s">
        <v>1849</v>
      </c>
      <c r="K716" s="336">
        <v>2035</v>
      </c>
      <c r="Q716" s="80">
        <f t="shared" si="108"/>
        <v>25.80133239927283</v>
      </c>
      <c r="X716" s="54" t="s">
        <v>2879</v>
      </c>
      <c r="Y716" s="377">
        <v>2</v>
      </c>
      <c r="Z716" s="377">
        <v>1</v>
      </c>
      <c r="AA716" s="377">
        <v>1</v>
      </c>
      <c r="AB716" s="377">
        <v>1</v>
      </c>
      <c r="AC716" s="377">
        <v>1</v>
      </c>
    </row>
    <row r="717" spans="1:29" x14ac:dyDescent="0.25">
      <c r="A717" t="s">
        <v>2077</v>
      </c>
      <c r="B717" t="s">
        <v>95</v>
      </c>
      <c r="C717" t="s">
        <v>2189</v>
      </c>
      <c r="D717">
        <v>2023</v>
      </c>
      <c r="E717">
        <v>2020</v>
      </c>
      <c r="F717" t="s">
        <v>1783</v>
      </c>
      <c r="G717" s="259">
        <v>1</v>
      </c>
      <c r="H717">
        <v>2020</v>
      </c>
      <c r="I717" t="s">
        <v>1783</v>
      </c>
      <c r="J717" t="s">
        <v>1849</v>
      </c>
      <c r="K717" s="336">
        <v>2040</v>
      </c>
      <c r="Q717" s="80">
        <f t="shared" si="108"/>
        <v>25.80133239927283</v>
      </c>
      <c r="X717" s="54" t="s">
        <v>2879</v>
      </c>
      <c r="Y717" s="377">
        <v>2</v>
      </c>
      <c r="Z717" s="377">
        <v>1</v>
      </c>
      <c r="AA717" s="377">
        <v>1</v>
      </c>
      <c r="AB717" s="377">
        <v>1</v>
      </c>
      <c r="AC717" s="377">
        <v>1</v>
      </c>
    </row>
    <row r="718" spans="1:29" x14ac:dyDescent="0.25">
      <c r="A718" t="s">
        <v>2077</v>
      </c>
      <c r="B718" t="s">
        <v>95</v>
      </c>
      <c r="C718" t="s">
        <v>2189</v>
      </c>
      <c r="D718">
        <v>2023</v>
      </c>
      <c r="E718">
        <v>2020</v>
      </c>
      <c r="F718" t="s">
        <v>1783</v>
      </c>
      <c r="G718" s="259">
        <v>1</v>
      </c>
      <c r="H718">
        <v>2020</v>
      </c>
      <c r="I718" t="s">
        <v>1783</v>
      </c>
      <c r="J718" t="s">
        <v>1849</v>
      </c>
      <c r="K718" s="336">
        <v>2045</v>
      </c>
      <c r="Q718" s="80">
        <f t="shared" si="108"/>
        <v>25.80133239927283</v>
      </c>
      <c r="X718" s="54" t="s">
        <v>2879</v>
      </c>
      <c r="Y718" s="377">
        <v>2</v>
      </c>
      <c r="Z718" s="377">
        <v>1</v>
      </c>
      <c r="AA718" s="377">
        <v>1</v>
      </c>
      <c r="AB718" s="377">
        <v>1</v>
      </c>
      <c r="AC718" s="377">
        <v>1</v>
      </c>
    </row>
    <row r="719" spans="1:29" x14ac:dyDescent="0.25">
      <c r="A719" t="s">
        <v>2077</v>
      </c>
      <c r="B719" t="s">
        <v>95</v>
      </c>
      <c r="C719" t="s">
        <v>2189</v>
      </c>
      <c r="D719">
        <v>2023</v>
      </c>
      <c r="E719">
        <v>2020</v>
      </c>
      <c r="F719" t="s">
        <v>1783</v>
      </c>
      <c r="G719" s="259">
        <v>1</v>
      </c>
      <c r="H719">
        <v>2020</v>
      </c>
      <c r="I719" t="s">
        <v>1783</v>
      </c>
      <c r="J719" t="s">
        <v>1849</v>
      </c>
      <c r="K719" s="336">
        <v>2050</v>
      </c>
      <c r="Q719" s="80">
        <f t="shared" si="108"/>
        <v>25.80133239927283</v>
      </c>
      <c r="X719" s="54" t="s">
        <v>2879</v>
      </c>
      <c r="Y719" s="377">
        <v>2</v>
      </c>
      <c r="Z719" s="377">
        <v>1</v>
      </c>
      <c r="AA719" s="377">
        <v>1</v>
      </c>
      <c r="AB719" s="377">
        <v>1</v>
      </c>
      <c r="AC719" s="377">
        <v>1</v>
      </c>
    </row>
    <row r="720" spans="1:29" x14ac:dyDescent="0.25">
      <c r="A720" t="s">
        <v>2069</v>
      </c>
      <c r="B720" t="s">
        <v>95</v>
      </c>
      <c r="C720" t="s">
        <v>2877</v>
      </c>
      <c r="D720">
        <v>2023</v>
      </c>
      <c r="E720">
        <v>2022</v>
      </c>
      <c r="F720" t="s">
        <v>1781</v>
      </c>
      <c r="G720" s="259">
        <f t="shared" ref="G720:G761" si="109">USD2022_to_CAD2020</f>
        <v>1.1226268817204299</v>
      </c>
      <c r="H720">
        <v>2020</v>
      </c>
      <c r="I720" t="s">
        <v>1783</v>
      </c>
      <c r="J720" t="s">
        <v>1849</v>
      </c>
      <c r="K720" s="336">
        <v>2021</v>
      </c>
      <c r="Q720" s="80">
        <f>$AH$176*1</f>
        <v>20.379669479103523</v>
      </c>
      <c r="X720" s="54" t="s">
        <v>2987</v>
      </c>
      <c r="Y720" s="377">
        <v>2</v>
      </c>
      <c r="Z720" s="377">
        <v>1</v>
      </c>
      <c r="AA720" s="377">
        <v>1</v>
      </c>
      <c r="AB720" s="377">
        <v>3</v>
      </c>
      <c r="AC720" s="377">
        <v>1</v>
      </c>
    </row>
    <row r="721" spans="1:29" x14ac:dyDescent="0.25">
      <c r="A721" t="s">
        <v>2069</v>
      </c>
      <c r="B721" t="s">
        <v>95</v>
      </c>
      <c r="C721" t="s">
        <v>2877</v>
      </c>
      <c r="D721">
        <v>2023</v>
      </c>
      <c r="E721">
        <v>2022</v>
      </c>
      <c r="F721" t="s">
        <v>1781</v>
      </c>
      <c r="G721" s="259">
        <f t="shared" si="109"/>
        <v>1.1226268817204299</v>
      </c>
      <c r="H721">
        <v>2020</v>
      </c>
      <c r="I721" t="s">
        <v>1783</v>
      </c>
      <c r="J721" t="s">
        <v>1849</v>
      </c>
      <c r="K721" s="336">
        <v>2025</v>
      </c>
      <c r="Q721" s="80">
        <f>$AI$176*1</f>
        <v>16.899639078184229</v>
      </c>
      <c r="X721" s="54" t="s">
        <v>2987</v>
      </c>
      <c r="Y721" s="377">
        <v>2</v>
      </c>
      <c r="Z721" s="377">
        <v>1</v>
      </c>
      <c r="AA721" s="377">
        <v>1</v>
      </c>
      <c r="AB721" s="377">
        <v>3</v>
      </c>
      <c r="AC721" s="377">
        <v>1</v>
      </c>
    </row>
    <row r="722" spans="1:29" x14ac:dyDescent="0.25">
      <c r="A722" t="s">
        <v>2069</v>
      </c>
      <c r="B722" t="s">
        <v>95</v>
      </c>
      <c r="C722" t="s">
        <v>2877</v>
      </c>
      <c r="D722">
        <v>2023</v>
      </c>
      <c r="E722">
        <v>2022</v>
      </c>
      <c r="F722" t="s">
        <v>1781</v>
      </c>
      <c r="G722" s="259">
        <f t="shared" si="109"/>
        <v>1.1226268817204299</v>
      </c>
      <c r="H722">
        <v>2020</v>
      </c>
      <c r="I722" t="s">
        <v>1783</v>
      </c>
      <c r="J722" t="s">
        <v>1849</v>
      </c>
      <c r="K722" s="336">
        <v>2030</v>
      </c>
      <c r="Q722" s="80">
        <f>$AJ$176*1</f>
        <v>14.98745980375382</v>
      </c>
      <c r="X722" s="54" t="s">
        <v>2987</v>
      </c>
      <c r="Y722" s="377">
        <v>2</v>
      </c>
      <c r="Z722" s="377">
        <v>1</v>
      </c>
      <c r="AA722" s="377">
        <v>1</v>
      </c>
      <c r="AB722" s="377">
        <v>3</v>
      </c>
      <c r="AC722" s="377">
        <v>1</v>
      </c>
    </row>
    <row r="723" spans="1:29" x14ac:dyDescent="0.25">
      <c r="A723" t="s">
        <v>2069</v>
      </c>
      <c r="B723" t="s">
        <v>95</v>
      </c>
      <c r="C723" t="s">
        <v>2877</v>
      </c>
      <c r="D723">
        <v>2023</v>
      </c>
      <c r="E723">
        <v>2022</v>
      </c>
      <c r="F723" t="s">
        <v>1781</v>
      </c>
      <c r="G723" s="259">
        <f t="shared" si="109"/>
        <v>1.1226268817204299</v>
      </c>
      <c r="H723">
        <v>2020</v>
      </c>
      <c r="I723" t="s">
        <v>1783</v>
      </c>
      <c r="J723" t="s">
        <v>1849</v>
      </c>
      <c r="K723" s="336">
        <v>2035</v>
      </c>
      <c r="Q723" s="80">
        <f>$AK$176*1</f>
        <v>13.9957677535015</v>
      </c>
      <c r="X723" s="54" t="s">
        <v>2987</v>
      </c>
      <c r="Y723" s="377">
        <v>2</v>
      </c>
      <c r="Z723" s="377">
        <v>1</v>
      </c>
      <c r="AA723" s="377">
        <v>1</v>
      </c>
      <c r="AB723" s="377">
        <v>3</v>
      </c>
      <c r="AC723" s="377">
        <v>1</v>
      </c>
    </row>
    <row r="724" spans="1:29" x14ac:dyDescent="0.25">
      <c r="A724" t="s">
        <v>2069</v>
      </c>
      <c r="B724" t="s">
        <v>95</v>
      </c>
      <c r="C724" t="s">
        <v>2877</v>
      </c>
      <c r="D724">
        <v>2023</v>
      </c>
      <c r="E724">
        <v>2022</v>
      </c>
      <c r="F724" t="s">
        <v>1781</v>
      </c>
      <c r="G724" s="259">
        <f t="shared" si="109"/>
        <v>1.1226268817204299</v>
      </c>
      <c r="H724">
        <v>2020</v>
      </c>
      <c r="I724" t="s">
        <v>1783</v>
      </c>
      <c r="J724" t="s">
        <v>1849</v>
      </c>
      <c r="K724" s="336">
        <v>2040</v>
      </c>
      <c r="Q724" s="80">
        <f>$AL$176*1</f>
        <v>12.994553564715456</v>
      </c>
      <c r="X724" s="54" t="s">
        <v>2987</v>
      </c>
      <c r="Y724" s="377">
        <v>2</v>
      </c>
      <c r="Z724" s="377">
        <v>1</v>
      </c>
      <c r="AA724" s="377">
        <v>1</v>
      </c>
      <c r="AB724" s="377">
        <v>3</v>
      </c>
      <c r="AC724" s="377">
        <v>1</v>
      </c>
    </row>
    <row r="725" spans="1:29" x14ac:dyDescent="0.25">
      <c r="A725" t="s">
        <v>2069</v>
      </c>
      <c r="B725" t="s">
        <v>95</v>
      </c>
      <c r="C725" t="s">
        <v>2877</v>
      </c>
      <c r="D725">
        <v>2023</v>
      </c>
      <c r="E725">
        <v>2022</v>
      </c>
      <c r="F725" t="s">
        <v>1781</v>
      </c>
      <c r="G725" s="259">
        <f t="shared" si="109"/>
        <v>1.1226268817204299</v>
      </c>
      <c r="H725">
        <v>2020</v>
      </c>
      <c r="I725" t="s">
        <v>1783</v>
      </c>
      <c r="J725" t="s">
        <v>1849</v>
      </c>
      <c r="K725" s="336">
        <v>2045</v>
      </c>
      <c r="Q725" s="80">
        <f>$AM$176*1</f>
        <v>12.067850189759177</v>
      </c>
      <c r="X725" s="54" t="s">
        <v>2987</v>
      </c>
      <c r="Y725" s="377">
        <v>2</v>
      </c>
      <c r="Z725" s="377">
        <v>1</v>
      </c>
      <c r="AA725" s="377">
        <v>1</v>
      </c>
      <c r="AB725" s="377">
        <v>3</v>
      </c>
      <c r="AC725" s="377">
        <v>1</v>
      </c>
    </row>
    <row r="726" spans="1:29" x14ac:dyDescent="0.25">
      <c r="A726" t="s">
        <v>2069</v>
      </c>
      <c r="B726" t="s">
        <v>95</v>
      </c>
      <c r="C726" t="s">
        <v>2877</v>
      </c>
      <c r="D726">
        <v>2023</v>
      </c>
      <c r="E726">
        <v>2022</v>
      </c>
      <c r="F726" t="s">
        <v>1781</v>
      </c>
      <c r="G726" s="259">
        <f t="shared" si="109"/>
        <v>1.1226268817204299</v>
      </c>
      <c r="H726">
        <v>2020</v>
      </c>
      <c r="I726" t="s">
        <v>1783</v>
      </c>
      <c r="J726" t="s">
        <v>1849</v>
      </c>
      <c r="K726" s="336">
        <v>2050</v>
      </c>
      <c r="Q726" s="80">
        <f>$AN$176*1</f>
        <v>11.294716170710629</v>
      </c>
      <c r="X726" s="54" t="s">
        <v>2987</v>
      </c>
      <c r="Y726" s="377">
        <v>2</v>
      </c>
      <c r="Z726" s="377">
        <v>1</v>
      </c>
      <c r="AA726" s="377">
        <v>1</v>
      </c>
      <c r="AB726" s="377">
        <v>3</v>
      </c>
      <c r="AC726" s="377">
        <v>1</v>
      </c>
    </row>
    <row r="727" spans="1:29" x14ac:dyDescent="0.25">
      <c r="A727" t="s">
        <v>2070</v>
      </c>
      <c r="B727" t="s">
        <v>95</v>
      </c>
      <c r="C727" t="s">
        <v>2877</v>
      </c>
      <c r="D727">
        <v>2023</v>
      </c>
      <c r="E727">
        <v>2022</v>
      </c>
      <c r="F727" t="s">
        <v>1781</v>
      </c>
      <c r="G727" s="259">
        <f t="shared" si="109"/>
        <v>1.1226268817204299</v>
      </c>
      <c r="H727">
        <v>2020</v>
      </c>
      <c r="I727" t="s">
        <v>1783</v>
      </c>
      <c r="J727" t="s">
        <v>1849</v>
      </c>
      <c r="K727" s="336">
        <v>2021</v>
      </c>
      <c r="R727" s="80">
        <f>$AH$176*1</f>
        <v>20.379669479103523</v>
      </c>
      <c r="X727" s="54" t="s">
        <v>2987</v>
      </c>
      <c r="Y727" s="377">
        <v>2</v>
      </c>
      <c r="Z727" s="377">
        <v>1</v>
      </c>
      <c r="AA727" s="377">
        <v>1</v>
      </c>
      <c r="AB727" s="377">
        <v>3</v>
      </c>
      <c r="AC727" s="377">
        <v>1</v>
      </c>
    </row>
    <row r="728" spans="1:29" x14ac:dyDescent="0.25">
      <c r="A728" t="s">
        <v>2070</v>
      </c>
      <c r="B728" t="s">
        <v>95</v>
      </c>
      <c r="C728" t="s">
        <v>2877</v>
      </c>
      <c r="D728">
        <v>2023</v>
      </c>
      <c r="E728">
        <v>2022</v>
      </c>
      <c r="F728" t="s">
        <v>1781</v>
      </c>
      <c r="G728" s="259">
        <f t="shared" si="109"/>
        <v>1.1226268817204299</v>
      </c>
      <c r="H728">
        <v>2020</v>
      </c>
      <c r="I728" t="s">
        <v>1783</v>
      </c>
      <c r="J728" t="s">
        <v>1849</v>
      </c>
      <c r="K728" s="336">
        <v>2025</v>
      </c>
      <c r="R728" s="80">
        <f>$AI$176*1</f>
        <v>16.899639078184229</v>
      </c>
      <c r="X728" s="54" t="s">
        <v>2987</v>
      </c>
      <c r="Y728" s="377">
        <v>2</v>
      </c>
      <c r="Z728" s="377">
        <v>1</v>
      </c>
      <c r="AA728" s="377">
        <v>1</v>
      </c>
      <c r="AB728" s="377">
        <v>3</v>
      </c>
      <c r="AC728" s="377">
        <v>1</v>
      </c>
    </row>
    <row r="729" spans="1:29" x14ac:dyDescent="0.25">
      <c r="A729" t="s">
        <v>2070</v>
      </c>
      <c r="B729" t="s">
        <v>95</v>
      </c>
      <c r="C729" t="s">
        <v>2877</v>
      </c>
      <c r="D729">
        <v>2023</v>
      </c>
      <c r="E729">
        <v>2022</v>
      </c>
      <c r="F729" t="s">
        <v>1781</v>
      </c>
      <c r="G729" s="259">
        <f t="shared" si="109"/>
        <v>1.1226268817204299</v>
      </c>
      <c r="H729">
        <v>2020</v>
      </c>
      <c r="I729" t="s">
        <v>1783</v>
      </c>
      <c r="J729" t="s">
        <v>1849</v>
      </c>
      <c r="K729" s="336">
        <v>2030</v>
      </c>
      <c r="R729" s="80">
        <f>$AJ$176*1</f>
        <v>14.98745980375382</v>
      </c>
      <c r="X729" s="54" t="s">
        <v>2987</v>
      </c>
      <c r="Y729" s="377">
        <v>2</v>
      </c>
      <c r="Z729" s="377">
        <v>1</v>
      </c>
      <c r="AA729" s="377">
        <v>1</v>
      </c>
      <c r="AB729" s="377">
        <v>3</v>
      </c>
      <c r="AC729" s="377">
        <v>1</v>
      </c>
    </row>
    <row r="730" spans="1:29" x14ac:dyDescent="0.25">
      <c r="A730" t="s">
        <v>2070</v>
      </c>
      <c r="B730" t="s">
        <v>95</v>
      </c>
      <c r="C730" t="s">
        <v>2877</v>
      </c>
      <c r="D730">
        <v>2023</v>
      </c>
      <c r="E730">
        <v>2022</v>
      </c>
      <c r="F730" t="s">
        <v>1781</v>
      </c>
      <c r="G730" s="259">
        <f t="shared" si="109"/>
        <v>1.1226268817204299</v>
      </c>
      <c r="H730">
        <v>2020</v>
      </c>
      <c r="I730" t="s">
        <v>1783</v>
      </c>
      <c r="J730" t="s">
        <v>1849</v>
      </c>
      <c r="K730" s="336">
        <v>2035</v>
      </c>
      <c r="R730" s="80">
        <f>$AK$176*1</f>
        <v>13.9957677535015</v>
      </c>
      <c r="X730" s="54" t="s">
        <v>2987</v>
      </c>
      <c r="Y730" s="377">
        <v>2</v>
      </c>
      <c r="Z730" s="377">
        <v>1</v>
      </c>
      <c r="AA730" s="377">
        <v>1</v>
      </c>
      <c r="AB730" s="377">
        <v>3</v>
      </c>
      <c r="AC730" s="377">
        <v>1</v>
      </c>
    </row>
    <row r="731" spans="1:29" x14ac:dyDescent="0.25">
      <c r="A731" t="s">
        <v>2070</v>
      </c>
      <c r="B731" t="s">
        <v>95</v>
      </c>
      <c r="C731" t="s">
        <v>2877</v>
      </c>
      <c r="D731">
        <v>2023</v>
      </c>
      <c r="E731">
        <v>2022</v>
      </c>
      <c r="F731" t="s">
        <v>1781</v>
      </c>
      <c r="G731" s="259">
        <f t="shared" si="109"/>
        <v>1.1226268817204299</v>
      </c>
      <c r="H731">
        <v>2020</v>
      </c>
      <c r="I731" t="s">
        <v>1783</v>
      </c>
      <c r="J731" t="s">
        <v>1849</v>
      </c>
      <c r="K731" s="336">
        <v>2040</v>
      </c>
      <c r="R731" s="80">
        <f>$AL$176*1</f>
        <v>12.994553564715456</v>
      </c>
      <c r="X731" s="54" t="s">
        <v>2987</v>
      </c>
      <c r="Y731" s="377">
        <v>2</v>
      </c>
      <c r="Z731" s="377">
        <v>1</v>
      </c>
      <c r="AA731" s="377">
        <v>1</v>
      </c>
      <c r="AB731" s="377">
        <v>3</v>
      </c>
      <c r="AC731" s="377">
        <v>1</v>
      </c>
    </row>
    <row r="732" spans="1:29" x14ac:dyDescent="0.25">
      <c r="A732" t="s">
        <v>2070</v>
      </c>
      <c r="B732" t="s">
        <v>95</v>
      </c>
      <c r="C732" t="s">
        <v>2877</v>
      </c>
      <c r="D732">
        <v>2023</v>
      </c>
      <c r="E732">
        <v>2022</v>
      </c>
      <c r="F732" t="s">
        <v>1781</v>
      </c>
      <c r="G732" s="259">
        <f t="shared" si="109"/>
        <v>1.1226268817204299</v>
      </c>
      <c r="H732">
        <v>2020</v>
      </c>
      <c r="I732" t="s">
        <v>1783</v>
      </c>
      <c r="J732" t="s">
        <v>1849</v>
      </c>
      <c r="K732" s="336">
        <v>2045</v>
      </c>
      <c r="R732" s="80">
        <f>$AM$176*1</f>
        <v>12.067850189759177</v>
      </c>
      <c r="X732" s="54" t="s">
        <v>2987</v>
      </c>
      <c r="Y732" s="377">
        <v>2</v>
      </c>
      <c r="Z732" s="377">
        <v>1</v>
      </c>
      <c r="AA732" s="377">
        <v>1</v>
      </c>
      <c r="AB732" s="377">
        <v>3</v>
      </c>
      <c r="AC732" s="377">
        <v>1</v>
      </c>
    </row>
    <row r="733" spans="1:29" x14ac:dyDescent="0.25">
      <c r="A733" t="s">
        <v>2070</v>
      </c>
      <c r="B733" t="s">
        <v>95</v>
      </c>
      <c r="C733" t="s">
        <v>2877</v>
      </c>
      <c r="D733">
        <v>2023</v>
      </c>
      <c r="E733">
        <v>2022</v>
      </c>
      <c r="F733" t="s">
        <v>1781</v>
      </c>
      <c r="G733" s="259">
        <f t="shared" si="109"/>
        <v>1.1226268817204299</v>
      </c>
      <c r="H733">
        <v>2020</v>
      </c>
      <c r="I733" t="s">
        <v>1783</v>
      </c>
      <c r="J733" t="s">
        <v>1849</v>
      </c>
      <c r="K733" s="336">
        <v>2050</v>
      </c>
      <c r="R733" s="80">
        <f>$AN$176*1</f>
        <v>11.294716170710629</v>
      </c>
      <c r="X733" s="54" t="s">
        <v>2987</v>
      </c>
      <c r="Y733" s="377">
        <v>2</v>
      </c>
      <c r="Z733" s="377">
        <v>1</v>
      </c>
      <c r="AA733" s="377">
        <v>1</v>
      </c>
      <c r="AB733" s="377">
        <v>3</v>
      </c>
      <c r="AC733" s="377">
        <v>1</v>
      </c>
    </row>
    <row r="734" spans="1:29" x14ac:dyDescent="0.25">
      <c r="A734" t="s">
        <v>4084</v>
      </c>
      <c r="B734" t="s">
        <v>95</v>
      </c>
      <c r="C734" t="s">
        <v>2980</v>
      </c>
      <c r="D734">
        <v>2023</v>
      </c>
      <c r="E734">
        <v>2022</v>
      </c>
      <c r="F734" t="s">
        <v>1783</v>
      </c>
      <c r="G734" s="259">
        <f>CAD2022_to_2020</f>
        <v>0.86269644334160445</v>
      </c>
      <c r="H734">
        <v>2020</v>
      </c>
      <c r="I734" t="s">
        <v>1783</v>
      </c>
      <c r="J734" t="s">
        <v>1849</v>
      </c>
      <c r="K734" s="336">
        <v>2021</v>
      </c>
      <c r="Q734" s="80">
        <f>$AJ$165</f>
        <v>9.7657237386269617</v>
      </c>
      <c r="X734" s="54" t="s">
        <v>4754</v>
      </c>
      <c r="Y734" s="377">
        <v>1</v>
      </c>
      <c r="Z734" s="377">
        <v>1</v>
      </c>
      <c r="AA734" s="377">
        <v>1</v>
      </c>
      <c r="AB734" s="377">
        <v>1</v>
      </c>
      <c r="AC734" s="377">
        <v>1</v>
      </c>
    </row>
    <row r="735" spans="1:29" x14ac:dyDescent="0.25">
      <c r="A735" t="s">
        <v>4084</v>
      </c>
      <c r="B735" t="s">
        <v>95</v>
      </c>
      <c r="C735" t="s">
        <v>2877</v>
      </c>
      <c r="D735">
        <v>2023</v>
      </c>
      <c r="E735">
        <v>2022</v>
      </c>
      <c r="F735" t="s">
        <v>1781</v>
      </c>
      <c r="G735" s="259">
        <f t="shared" si="109"/>
        <v>1.1226268817204299</v>
      </c>
      <c r="H735">
        <v>2020</v>
      </c>
      <c r="I735" t="s">
        <v>1783</v>
      </c>
      <c r="J735" t="s">
        <v>1849</v>
      </c>
      <c r="K735" s="336">
        <v>2025</v>
      </c>
      <c r="Q735" s="80">
        <f>$Q$734*AX193</f>
        <v>6.5289207093480064</v>
      </c>
      <c r="X735" s="54" t="s">
        <v>4755</v>
      </c>
      <c r="Y735" s="377">
        <v>2</v>
      </c>
      <c r="Z735" s="377">
        <v>1</v>
      </c>
      <c r="AA735" s="377">
        <v>1</v>
      </c>
      <c r="AB735" s="377">
        <v>3</v>
      </c>
      <c r="AC735" s="377">
        <v>1</v>
      </c>
    </row>
    <row r="736" spans="1:29" x14ac:dyDescent="0.25">
      <c r="A736" t="s">
        <v>4084</v>
      </c>
      <c r="B736" t="s">
        <v>95</v>
      </c>
      <c r="C736" t="s">
        <v>2877</v>
      </c>
      <c r="D736">
        <v>2023</v>
      </c>
      <c r="E736">
        <v>2022</v>
      </c>
      <c r="F736" t="s">
        <v>1781</v>
      </c>
      <c r="G736" s="259">
        <f t="shared" si="109"/>
        <v>1.1226268817204299</v>
      </c>
      <c r="H736">
        <v>2020</v>
      </c>
      <c r="I736" t="s">
        <v>1783</v>
      </c>
      <c r="J736" t="s">
        <v>1849</v>
      </c>
      <c r="K736" s="336">
        <v>2030</v>
      </c>
      <c r="Q736" s="80">
        <f t="shared" ref="Q736:Q740" si="110">$Q$734*AX194</f>
        <v>5.586025925202919</v>
      </c>
      <c r="X736" s="54" t="s">
        <v>4755</v>
      </c>
      <c r="Y736" s="377">
        <v>2</v>
      </c>
      <c r="Z736" s="377">
        <v>1</v>
      </c>
      <c r="AA736" s="377">
        <v>1</v>
      </c>
      <c r="AB736" s="377">
        <v>3</v>
      </c>
      <c r="AC736" s="377">
        <v>1</v>
      </c>
    </row>
    <row r="737" spans="1:29" x14ac:dyDescent="0.25">
      <c r="A737" t="s">
        <v>4084</v>
      </c>
      <c r="B737" t="s">
        <v>95</v>
      </c>
      <c r="C737" t="s">
        <v>2877</v>
      </c>
      <c r="D737">
        <v>2023</v>
      </c>
      <c r="E737">
        <v>2022</v>
      </c>
      <c r="F737" t="s">
        <v>1781</v>
      </c>
      <c r="G737" s="259">
        <f t="shared" si="109"/>
        <v>1.1226268817204299</v>
      </c>
      <c r="H737">
        <v>2020</v>
      </c>
      <c r="I737" t="s">
        <v>1783</v>
      </c>
      <c r="J737" t="s">
        <v>1849</v>
      </c>
      <c r="K737" s="336">
        <v>2035</v>
      </c>
      <c r="Q737" s="80">
        <f t="shared" si="110"/>
        <v>6.0812364203085716</v>
      </c>
      <c r="X737" s="54" t="s">
        <v>4755</v>
      </c>
      <c r="Y737" s="377">
        <v>2</v>
      </c>
      <c r="Z737" s="377">
        <v>1</v>
      </c>
      <c r="AA737" s="377">
        <v>1</v>
      </c>
      <c r="AB737" s="377">
        <v>3</v>
      </c>
      <c r="AC737" s="377">
        <v>1</v>
      </c>
    </row>
    <row r="738" spans="1:29" x14ac:dyDescent="0.25">
      <c r="A738" t="s">
        <v>4084</v>
      </c>
      <c r="B738" t="s">
        <v>95</v>
      </c>
      <c r="C738" t="s">
        <v>2877</v>
      </c>
      <c r="D738">
        <v>2023</v>
      </c>
      <c r="E738">
        <v>2022</v>
      </c>
      <c r="F738" t="s">
        <v>1781</v>
      </c>
      <c r="G738" s="259">
        <f t="shared" si="109"/>
        <v>1.1226268817204299</v>
      </c>
      <c r="H738">
        <v>2020</v>
      </c>
      <c r="I738" t="s">
        <v>1783</v>
      </c>
      <c r="J738" t="s">
        <v>1849</v>
      </c>
      <c r="K738" s="336">
        <v>2040</v>
      </c>
      <c r="Q738" s="80">
        <f t="shared" si="110"/>
        <v>6.3773029567921542</v>
      </c>
      <c r="X738" s="54" t="s">
        <v>4755</v>
      </c>
      <c r="Y738" s="377">
        <v>2</v>
      </c>
      <c r="Z738" s="377">
        <v>1</v>
      </c>
      <c r="AA738" s="377">
        <v>1</v>
      </c>
      <c r="AB738" s="377">
        <v>3</v>
      </c>
      <c r="AC738" s="377">
        <v>1</v>
      </c>
    </row>
    <row r="739" spans="1:29" x14ac:dyDescent="0.25">
      <c r="A739" t="s">
        <v>4084</v>
      </c>
      <c r="B739" t="s">
        <v>95</v>
      </c>
      <c r="C739" t="s">
        <v>2877</v>
      </c>
      <c r="D739">
        <v>2023</v>
      </c>
      <c r="E739">
        <v>2022</v>
      </c>
      <c r="F739" t="s">
        <v>1781</v>
      </c>
      <c r="G739" s="259">
        <f t="shared" si="109"/>
        <v>1.1226268817204299</v>
      </c>
      <c r="H739">
        <v>2020</v>
      </c>
      <c r="I739" t="s">
        <v>1783</v>
      </c>
      <c r="J739" t="s">
        <v>1849</v>
      </c>
      <c r="K739" s="336">
        <v>2045</v>
      </c>
      <c r="Q739" s="80">
        <f t="shared" si="110"/>
        <v>6.2669736120583339</v>
      </c>
      <c r="X739" s="54" t="s">
        <v>4755</v>
      </c>
      <c r="Y739" s="377">
        <v>2</v>
      </c>
      <c r="Z739" s="377">
        <v>1</v>
      </c>
      <c r="AA739" s="377">
        <v>1</v>
      </c>
      <c r="AB739" s="377">
        <v>3</v>
      </c>
      <c r="AC739" s="377">
        <v>1</v>
      </c>
    </row>
    <row r="740" spans="1:29" x14ac:dyDescent="0.25">
      <c r="A740" t="s">
        <v>4084</v>
      </c>
      <c r="B740" t="s">
        <v>95</v>
      </c>
      <c r="C740" t="s">
        <v>2877</v>
      </c>
      <c r="D740">
        <v>2023</v>
      </c>
      <c r="E740">
        <v>2022</v>
      </c>
      <c r="F740" t="s">
        <v>1781</v>
      </c>
      <c r="G740" s="259">
        <f t="shared" si="109"/>
        <v>1.1226268817204299</v>
      </c>
      <c r="H740">
        <v>2020</v>
      </c>
      <c r="I740" t="s">
        <v>1783</v>
      </c>
      <c r="J740" t="s">
        <v>1849</v>
      </c>
      <c r="K740" s="336">
        <v>2050</v>
      </c>
      <c r="Q740" s="80">
        <f t="shared" si="110"/>
        <v>6.0290048042350293</v>
      </c>
      <c r="X740" s="54" t="s">
        <v>4755</v>
      </c>
      <c r="Y740" s="377">
        <v>2</v>
      </c>
      <c r="Z740" s="377">
        <v>1</v>
      </c>
      <c r="AA740" s="377">
        <v>1</v>
      </c>
      <c r="AB740" s="377">
        <v>3</v>
      </c>
      <c r="AC740" s="377">
        <v>1</v>
      </c>
    </row>
    <row r="741" spans="1:29" x14ac:dyDescent="0.25">
      <c r="A741" t="s">
        <v>2072</v>
      </c>
      <c r="B741" t="s">
        <v>95</v>
      </c>
      <c r="C741" t="s">
        <v>2877</v>
      </c>
      <c r="D741">
        <v>2023</v>
      </c>
      <c r="E741">
        <v>2022</v>
      </c>
      <c r="F741" t="s">
        <v>1781</v>
      </c>
      <c r="G741" s="259">
        <f t="shared" si="109"/>
        <v>1.1226268817204299</v>
      </c>
      <c r="H741">
        <v>2020</v>
      </c>
      <c r="I741" t="s">
        <v>1783</v>
      </c>
      <c r="J741" t="s">
        <v>1849</v>
      </c>
      <c r="K741" s="336">
        <v>2021</v>
      </c>
      <c r="Q741" s="80">
        <f>$AH$175</f>
        <v>11.732612178089143</v>
      </c>
      <c r="X741" s="54" t="s">
        <v>2978</v>
      </c>
      <c r="Y741" s="377">
        <v>2</v>
      </c>
      <c r="Z741" s="377">
        <v>1</v>
      </c>
      <c r="AA741" s="377">
        <v>1</v>
      </c>
      <c r="AB741" s="377">
        <v>3</v>
      </c>
      <c r="AC741" s="377">
        <v>1</v>
      </c>
    </row>
    <row r="742" spans="1:29" x14ac:dyDescent="0.25">
      <c r="A742" t="s">
        <v>2072</v>
      </c>
      <c r="B742" t="s">
        <v>95</v>
      </c>
      <c r="C742" t="s">
        <v>2877</v>
      </c>
      <c r="D742">
        <v>2023</v>
      </c>
      <c r="E742">
        <v>2022</v>
      </c>
      <c r="F742" t="s">
        <v>1781</v>
      </c>
      <c r="G742" s="259">
        <f t="shared" si="109"/>
        <v>1.1226268817204299</v>
      </c>
      <c r="H742">
        <v>2020</v>
      </c>
      <c r="I742" t="s">
        <v>1783</v>
      </c>
      <c r="J742" t="s">
        <v>1849</v>
      </c>
      <c r="K742" s="336">
        <v>2025</v>
      </c>
      <c r="Q742" s="80">
        <f>$AI$175</f>
        <v>14.837368810888524</v>
      </c>
      <c r="X742" s="54" t="s">
        <v>2978</v>
      </c>
      <c r="Y742" s="377">
        <v>2</v>
      </c>
      <c r="Z742" s="377">
        <v>1</v>
      </c>
      <c r="AA742" s="377">
        <v>1</v>
      </c>
      <c r="AB742" s="377">
        <v>3</v>
      </c>
      <c r="AC742" s="377">
        <v>1</v>
      </c>
    </row>
    <row r="743" spans="1:29" x14ac:dyDescent="0.25">
      <c r="A743" t="s">
        <v>2072</v>
      </c>
      <c r="B743" t="s">
        <v>95</v>
      </c>
      <c r="C743" t="s">
        <v>2877</v>
      </c>
      <c r="D743">
        <v>2023</v>
      </c>
      <c r="E743">
        <v>2022</v>
      </c>
      <c r="F743" t="s">
        <v>1781</v>
      </c>
      <c r="G743" s="259">
        <f t="shared" si="109"/>
        <v>1.1226268817204299</v>
      </c>
      <c r="H743">
        <v>2020</v>
      </c>
      <c r="I743" t="s">
        <v>1783</v>
      </c>
      <c r="J743" t="s">
        <v>1849</v>
      </c>
      <c r="K743" s="336">
        <v>2030</v>
      </c>
      <c r="Q743" s="80">
        <f>$AJ$175</f>
        <v>14.870364845745021</v>
      </c>
      <c r="X743" s="54" t="s">
        <v>2978</v>
      </c>
      <c r="Y743" s="377">
        <v>2</v>
      </c>
      <c r="Z743" s="377">
        <v>1</v>
      </c>
      <c r="AA743" s="377">
        <v>1</v>
      </c>
      <c r="AB743" s="377">
        <v>3</v>
      </c>
      <c r="AC743" s="377">
        <v>1</v>
      </c>
    </row>
    <row r="744" spans="1:29" x14ac:dyDescent="0.25">
      <c r="A744" t="s">
        <v>2072</v>
      </c>
      <c r="B744" t="s">
        <v>95</v>
      </c>
      <c r="C744" t="s">
        <v>2877</v>
      </c>
      <c r="D744">
        <v>2023</v>
      </c>
      <c r="E744">
        <v>2022</v>
      </c>
      <c r="F744" t="s">
        <v>1781</v>
      </c>
      <c r="G744" s="259">
        <f t="shared" si="109"/>
        <v>1.1226268817204299</v>
      </c>
      <c r="H744">
        <v>2020</v>
      </c>
      <c r="I744" t="s">
        <v>1783</v>
      </c>
      <c r="J744" t="s">
        <v>1849</v>
      </c>
      <c r="K744" s="336">
        <v>2035</v>
      </c>
      <c r="Q744" s="80">
        <f>$AK$175</f>
        <v>15.491231899942415</v>
      </c>
      <c r="X744" s="54" t="s">
        <v>2978</v>
      </c>
      <c r="Y744" s="377">
        <v>2</v>
      </c>
      <c r="Z744" s="377">
        <v>1</v>
      </c>
      <c r="AA744" s="377">
        <v>1</v>
      </c>
      <c r="AB744" s="377">
        <v>3</v>
      </c>
      <c r="AC744" s="377">
        <v>1</v>
      </c>
    </row>
    <row r="745" spans="1:29" x14ac:dyDescent="0.25">
      <c r="A745" t="s">
        <v>2072</v>
      </c>
      <c r="B745" t="s">
        <v>95</v>
      </c>
      <c r="C745" t="s">
        <v>2877</v>
      </c>
      <c r="D745">
        <v>2023</v>
      </c>
      <c r="E745">
        <v>2022</v>
      </c>
      <c r="F745" t="s">
        <v>1781</v>
      </c>
      <c r="G745" s="259">
        <f t="shared" si="109"/>
        <v>1.1226268817204299</v>
      </c>
      <c r="H745">
        <v>2020</v>
      </c>
      <c r="I745" t="s">
        <v>1783</v>
      </c>
      <c r="J745" t="s">
        <v>1849</v>
      </c>
      <c r="K745" s="336">
        <v>2040</v>
      </c>
      <c r="Q745" s="80">
        <f>$AL$175</f>
        <v>15.993541998327302</v>
      </c>
      <c r="X745" s="54" t="s">
        <v>2978</v>
      </c>
      <c r="Y745" s="377">
        <v>2</v>
      </c>
      <c r="Z745" s="377">
        <v>1</v>
      </c>
      <c r="AA745" s="377">
        <v>1</v>
      </c>
      <c r="AB745" s="377">
        <v>3</v>
      </c>
      <c r="AC745" s="377">
        <v>1</v>
      </c>
    </row>
    <row r="746" spans="1:29" x14ac:dyDescent="0.25">
      <c r="A746" t="s">
        <v>2072</v>
      </c>
      <c r="B746" t="s">
        <v>95</v>
      </c>
      <c r="C746" t="s">
        <v>2877</v>
      </c>
      <c r="D746">
        <v>2023</v>
      </c>
      <c r="E746">
        <v>2022</v>
      </c>
      <c r="F746" t="s">
        <v>1781</v>
      </c>
      <c r="G746" s="259">
        <f t="shared" si="109"/>
        <v>1.1226268817204299</v>
      </c>
      <c r="H746">
        <v>2020</v>
      </c>
      <c r="I746" t="s">
        <v>1783</v>
      </c>
      <c r="J746" t="s">
        <v>1849</v>
      </c>
      <c r="K746" s="336">
        <v>2045</v>
      </c>
      <c r="Q746" s="80">
        <f>$AM$175</f>
        <v>16.225168629986008</v>
      </c>
      <c r="X746" s="54" t="s">
        <v>2978</v>
      </c>
      <c r="Y746" s="377">
        <v>2</v>
      </c>
      <c r="Z746" s="377">
        <v>1</v>
      </c>
      <c r="AA746" s="377">
        <v>1</v>
      </c>
      <c r="AB746" s="377">
        <v>3</v>
      </c>
      <c r="AC746" s="377">
        <v>1</v>
      </c>
    </row>
    <row r="747" spans="1:29" x14ac:dyDescent="0.25">
      <c r="A747" t="s">
        <v>2072</v>
      </c>
      <c r="B747" t="s">
        <v>95</v>
      </c>
      <c r="C747" t="s">
        <v>2877</v>
      </c>
      <c r="D747">
        <v>2023</v>
      </c>
      <c r="E747">
        <v>2022</v>
      </c>
      <c r="F747" t="s">
        <v>1781</v>
      </c>
      <c r="G747" s="259">
        <f t="shared" si="109"/>
        <v>1.1226268817204299</v>
      </c>
      <c r="H747">
        <v>2020</v>
      </c>
      <c r="I747" t="s">
        <v>1783</v>
      </c>
      <c r="J747" t="s">
        <v>1849</v>
      </c>
      <c r="K747" s="336">
        <v>2050</v>
      </c>
      <c r="Q747" s="80">
        <f>$AN$175</f>
        <v>16.673981738868154</v>
      </c>
      <c r="X747" s="54" t="s">
        <v>2978</v>
      </c>
      <c r="Y747" s="377">
        <v>2</v>
      </c>
      <c r="Z747" s="377">
        <v>1</v>
      </c>
      <c r="AA747" s="377">
        <v>1</v>
      </c>
      <c r="AB747" s="377">
        <v>3</v>
      </c>
      <c r="AC747" s="377">
        <v>1</v>
      </c>
    </row>
    <row r="748" spans="1:29" x14ac:dyDescent="0.25">
      <c r="A748" t="s">
        <v>2071</v>
      </c>
      <c r="B748" t="s">
        <v>95</v>
      </c>
      <c r="C748" t="s">
        <v>2877</v>
      </c>
      <c r="D748">
        <v>2023</v>
      </c>
      <c r="E748">
        <v>2022</v>
      </c>
      <c r="F748" t="s">
        <v>1781</v>
      </c>
      <c r="G748" s="259">
        <f t="shared" si="109"/>
        <v>1.1226268817204299</v>
      </c>
      <c r="H748">
        <v>2020</v>
      </c>
      <c r="I748" t="s">
        <v>1783</v>
      </c>
      <c r="J748" t="s">
        <v>1849</v>
      </c>
      <c r="K748" s="336">
        <v>2021</v>
      </c>
      <c r="Q748" s="80">
        <f>Q692*0.88</f>
        <v>27.383365425971874</v>
      </c>
      <c r="X748" s="54" t="s">
        <v>2880</v>
      </c>
      <c r="Y748" s="377">
        <v>2</v>
      </c>
      <c r="Z748" s="377">
        <v>1</v>
      </c>
      <c r="AA748" s="377">
        <v>1</v>
      </c>
      <c r="AB748" s="377">
        <v>3</v>
      </c>
      <c r="AC748" s="377">
        <v>2</v>
      </c>
    </row>
    <row r="749" spans="1:29" x14ac:dyDescent="0.25">
      <c r="A749" t="s">
        <v>2071</v>
      </c>
      <c r="B749" t="s">
        <v>95</v>
      </c>
      <c r="C749" t="s">
        <v>2877</v>
      </c>
      <c r="D749">
        <v>2023</v>
      </c>
      <c r="E749">
        <v>2022</v>
      </c>
      <c r="F749" t="s">
        <v>1781</v>
      </c>
      <c r="G749" s="259">
        <f t="shared" si="109"/>
        <v>1.1226268817204299</v>
      </c>
      <c r="H749">
        <v>2020</v>
      </c>
      <c r="I749" t="s">
        <v>1783</v>
      </c>
      <c r="J749" t="s">
        <v>1849</v>
      </c>
      <c r="K749" s="336">
        <v>2025</v>
      </c>
      <c r="Q749" s="80">
        <f t="shared" ref="Q749:Q754" si="111">Q693*0.88</f>
        <v>20.813225972546817</v>
      </c>
      <c r="X749" s="54" t="s">
        <v>2880</v>
      </c>
      <c r="Y749" s="377">
        <v>2</v>
      </c>
      <c r="Z749" s="377">
        <v>1</v>
      </c>
      <c r="AA749" s="377">
        <v>1</v>
      </c>
      <c r="AB749" s="377">
        <v>3</v>
      </c>
      <c r="AC749" s="377">
        <v>2</v>
      </c>
    </row>
    <row r="750" spans="1:29" x14ac:dyDescent="0.25">
      <c r="A750" t="s">
        <v>2071</v>
      </c>
      <c r="B750" t="s">
        <v>95</v>
      </c>
      <c r="C750" t="s">
        <v>2877</v>
      </c>
      <c r="D750">
        <v>2023</v>
      </c>
      <c r="E750">
        <v>2022</v>
      </c>
      <c r="F750" t="s">
        <v>1781</v>
      </c>
      <c r="G750" s="259">
        <f t="shared" si="109"/>
        <v>1.1226268817204299</v>
      </c>
      <c r="H750">
        <v>2020</v>
      </c>
      <c r="I750" t="s">
        <v>1783</v>
      </c>
      <c r="J750" t="s">
        <v>1849</v>
      </c>
      <c r="K750" s="336">
        <v>2030</v>
      </c>
      <c r="Q750" s="80">
        <f t="shared" si="111"/>
        <v>19.041287276403018</v>
      </c>
      <c r="X750" s="54" t="s">
        <v>2880</v>
      </c>
      <c r="Y750" s="377">
        <v>2</v>
      </c>
      <c r="Z750" s="377">
        <v>1</v>
      </c>
      <c r="AA750" s="377">
        <v>1</v>
      </c>
      <c r="AB750" s="377">
        <v>3</v>
      </c>
      <c r="AC750" s="377">
        <v>2</v>
      </c>
    </row>
    <row r="751" spans="1:29" x14ac:dyDescent="0.25">
      <c r="A751" t="s">
        <v>2071</v>
      </c>
      <c r="B751" t="s">
        <v>95</v>
      </c>
      <c r="C751" t="s">
        <v>2877</v>
      </c>
      <c r="D751">
        <v>2023</v>
      </c>
      <c r="E751">
        <v>2022</v>
      </c>
      <c r="F751" t="s">
        <v>1781</v>
      </c>
      <c r="G751" s="259">
        <f t="shared" si="109"/>
        <v>1.1226268817204299</v>
      </c>
      <c r="H751">
        <v>2020</v>
      </c>
      <c r="I751" t="s">
        <v>1783</v>
      </c>
      <c r="J751" t="s">
        <v>1849</v>
      </c>
      <c r="K751" s="336">
        <v>2035</v>
      </c>
      <c r="Q751" s="80">
        <f t="shared" si="111"/>
        <v>19.72139703859046</v>
      </c>
      <c r="X751" s="54" t="s">
        <v>2880</v>
      </c>
      <c r="Y751" s="377">
        <v>2</v>
      </c>
      <c r="Z751" s="377">
        <v>1</v>
      </c>
      <c r="AA751" s="377">
        <v>1</v>
      </c>
      <c r="AB751" s="377">
        <v>3</v>
      </c>
      <c r="AC751" s="377">
        <v>2</v>
      </c>
    </row>
    <row r="752" spans="1:29" x14ac:dyDescent="0.25">
      <c r="A752" t="s">
        <v>2071</v>
      </c>
      <c r="B752" t="s">
        <v>95</v>
      </c>
      <c r="C752" t="s">
        <v>2877</v>
      </c>
      <c r="D752">
        <v>2023</v>
      </c>
      <c r="E752">
        <v>2022</v>
      </c>
      <c r="F752" t="s">
        <v>1781</v>
      </c>
      <c r="G752" s="259">
        <f t="shared" si="109"/>
        <v>1.1226268817204299</v>
      </c>
      <c r="H752">
        <v>2020</v>
      </c>
      <c r="I752" t="s">
        <v>1783</v>
      </c>
      <c r="J752" t="s">
        <v>1849</v>
      </c>
      <c r="K752" s="336">
        <v>2040</v>
      </c>
      <c r="Q752" s="80">
        <f t="shared" si="111"/>
        <v>20.118340583002173</v>
      </c>
      <c r="X752" s="54" t="s">
        <v>2880</v>
      </c>
      <c r="Y752" s="377">
        <v>2</v>
      </c>
      <c r="Z752" s="377">
        <v>1</v>
      </c>
      <c r="AA752" s="377">
        <v>1</v>
      </c>
      <c r="AB752" s="377">
        <v>3</v>
      </c>
      <c r="AC752" s="377">
        <v>2</v>
      </c>
    </row>
    <row r="753" spans="1:29" x14ac:dyDescent="0.25">
      <c r="A753" t="s">
        <v>2071</v>
      </c>
      <c r="B753" t="s">
        <v>95</v>
      </c>
      <c r="C753" t="s">
        <v>2877</v>
      </c>
      <c r="D753">
        <v>2023</v>
      </c>
      <c r="E753">
        <v>2022</v>
      </c>
      <c r="F753" t="s">
        <v>1781</v>
      </c>
      <c r="G753" s="259">
        <f t="shared" si="109"/>
        <v>1.1226268817204299</v>
      </c>
      <c r="H753">
        <v>2020</v>
      </c>
      <c r="I753" t="s">
        <v>1783</v>
      </c>
      <c r="J753" t="s">
        <v>1849</v>
      </c>
      <c r="K753" s="336">
        <v>2045</v>
      </c>
      <c r="Q753" s="80">
        <f t="shared" si="111"/>
        <v>20.422546145057865</v>
      </c>
      <c r="X753" s="54" t="s">
        <v>2880</v>
      </c>
      <c r="Y753" s="377">
        <v>2</v>
      </c>
      <c r="Z753" s="377">
        <v>1</v>
      </c>
      <c r="AA753" s="377">
        <v>1</v>
      </c>
      <c r="AB753" s="377">
        <v>3</v>
      </c>
      <c r="AC753" s="377">
        <v>2</v>
      </c>
    </row>
    <row r="754" spans="1:29" x14ac:dyDescent="0.25">
      <c r="A754" t="s">
        <v>2071</v>
      </c>
      <c r="B754" t="s">
        <v>95</v>
      </c>
      <c r="C754" t="s">
        <v>2877</v>
      </c>
      <c r="D754">
        <v>2023</v>
      </c>
      <c r="E754">
        <v>2022</v>
      </c>
      <c r="F754" t="s">
        <v>1781</v>
      </c>
      <c r="G754" s="259">
        <f t="shared" si="109"/>
        <v>1.1226268817204299</v>
      </c>
      <c r="H754">
        <v>2020</v>
      </c>
      <c r="I754" t="s">
        <v>1783</v>
      </c>
      <c r="J754" t="s">
        <v>1849</v>
      </c>
      <c r="K754" s="336">
        <v>2050</v>
      </c>
      <c r="Q754" s="80">
        <f t="shared" si="111"/>
        <v>20.83572039762738</v>
      </c>
      <c r="X754" s="54" t="s">
        <v>2880</v>
      </c>
      <c r="Y754" s="377">
        <v>2</v>
      </c>
      <c r="Z754" s="377">
        <v>1</v>
      </c>
      <c r="AA754" s="377">
        <v>1</v>
      </c>
      <c r="AB754" s="377">
        <v>3</v>
      </c>
      <c r="AC754" s="377">
        <v>2</v>
      </c>
    </row>
    <row r="755" spans="1:29" x14ac:dyDescent="0.25">
      <c r="A755" t="s">
        <v>2073</v>
      </c>
      <c r="B755" t="s">
        <v>95</v>
      </c>
      <c r="C755" t="s">
        <v>2979</v>
      </c>
      <c r="D755">
        <v>2023</v>
      </c>
      <c r="E755">
        <v>2022</v>
      </c>
      <c r="F755" t="s">
        <v>1781</v>
      </c>
      <c r="G755" s="259">
        <f t="shared" si="109"/>
        <v>1.1226268817204299</v>
      </c>
      <c r="H755">
        <v>2020</v>
      </c>
      <c r="I755" t="s">
        <v>1783</v>
      </c>
      <c r="J755" t="s">
        <v>1849</v>
      </c>
      <c r="K755" s="336">
        <v>2021</v>
      </c>
      <c r="Q755" s="80">
        <f>$AH$187+$AH$188</f>
        <v>26.578466794260162</v>
      </c>
      <c r="X755" s="54" t="s">
        <v>2988</v>
      </c>
      <c r="Y755" s="377">
        <v>2</v>
      </c>
      <c r="Z755" s="377">
        <v>1</v>
      </c>
      <c r="AA755" s="377">
        <v>1</v>
      </c>
      <c r="AB755" s="377">
        <v>3</v>
      </c>
      <c r="AC755" s="377">
        <v>1</v>
      </c>
    </row>
    <row r="756" spans="1:29" x14ac:dyDescent="0.25">
      <c r="A756" t="s">
        <v>2073</v>
      </c>
      <c r="B756" t="s">
        <v>95</v>
      </c>
      <c r="C756" t="s">
        <v>2979</v>
      </c>
      <c r="D756">
        <v>2023</v>
      </c>
      <c r="E756">
        <v>2022</v>
      </c>
      <c r="F756" t="s">
        <v>1781</v>
      </c>
      <c r="G756" s="259">
        <f t="shared" si="109"/>
        <v>1.1226268817204299</v>
      </c>
      <c r="H756">
        <v>2020</v>
      </c>
      <c r="I756" t="s">
        <v>1783</v>
      </c>
      <c r="J756" t="s">
        <v>1849</v>
      </c>
      <c r="K756" s="336">
        <v>2025</v>
      </c>
      <c r="Q756" s="80">
        <f>$AI$187+$AI$188</f>
        <v>19.823306279005241</v>
      </c>
      <c r="X756" s="54" t="s">
        <v>2988</v>
      </c>
      <c r="Y756" s="377">
        <v>2</v>
      </c>
      <c r="Z756" s="377">
        <v>1</v>
      </c>
      <c r="AA756" s="377">
        <v>1</v>
      </c>
      <c r="AB756" s="377">
        <v>3</v>
      </c>
      <c r="AC756" s="377">
        <v>1</v>
      </c>
    </row>
    <row r="757" spans="1:29" x14ac:dyDescent="0.25">
      <c r="A757" t="s">
        <v>2073</v>
      </c>
      <c r="B757" t="s">
        <v>95</v>
      </c>
      <c r="C757" t="s">
        <v>2979</v>
      </c>
      <c r="D757">
        <v>2023</v>
      </c>
      <c r="E757">
        <v>2022</v>
      </c>
      <c r="F757" t="s">
        <v>1781</v>
      </c>
      <c r="G757" s="259">
        <f t="shared" si="109"/>
        <v>1.1226268817204299</v>
      </c>
      <c r="H757">
        <v>2020</v>
      </c>
      <c r="I757" t="s">
        <v>1783</v>
      </c>
      <c r="J757" t="s">
        <v>1849</v>
      </c>
      <c r="K757" s="336">
        <v>2030</v>
      </c>
      <c r="Q757" s="80">
        <f>$AJ$187+$AJ$188</f>
        <v>19.496186782253609</v>
      </c>
      <c r="X757" s="54" t="s">
        <v>2988</v>
      </c>
      <c r="Y757" s="377">
        <v>2</v>
      </c>
      <c r="Z757" s="377">
        <v>1</v>
      </c>
      <c r="AA757" s="377">
        <v>1</v>
      </c>
      <c r="AB757" s="377">
        <v>3</v>
      </c>
      <c r="AC757" s="377">
        <v>1</v>
      </c>
    </row>
    <row r="758" spans="1:29" x14ac:dyDescent="0.25">
      <c r="A758" t="s">
        <v>2073</v>
      </c>
      <c r="B758" t="s">
        <v>95</v>
      </c>
      <c r="C758" t="s">
        <v>2979</v>
      </c>
      <c r="D758">
        <v>2023</v>
      </c>
      <c r="E758">
        <v>2022</v>
      </c>
      <c r="F758" t="s">
        <v>1781</v>
      </c>
      <c r="G758" s="259">
        <f t="shared" si="109"/>
        <v>1.1226268817204299</v>
      </c>
      <c r="H758">
        <v>2020</v>
      </c>
      <c r="I758" t="s">
        <v>1783</v>
      </c>
      <c r="J758" t="s">
        <v>1849</v>
      </c>
      <c r="K758" s="336">
        <v>2035</v>
      </c>
      <c r="Q758" s="80">
        <f>$AK$187+$AK$188</f>
        <v>20.251636437413897</v>
      </c>
      <c r="X758" s="54" t="s">
        <v>2988</v>
      </c>
      <c r="Y758" s="377">
        <v>2</v>
      </c>
      <c r="Z758" s="377">
        <v>1</v>
      </c>
      <c r="AA758" s="377">
        <v>1</v>
      </c>
      <c r="AB758" s="377">
        <v>3</v>
      </c>
      <c r="AC758" s="377">
        <v>1</v>
      </c>
    </row>
    <row r="759" spans="1:29" x14ac:dyDescent="0.25">
      <c r="A759" t="s">
        <v>2073</v>
      </c>
      <c r="B759" t="s">
        <v>95</v>
      </c>
      <c r="C759" t="s">
        <v>2979</v>
      </c>
      <c r="D759">
        <v>2023</v>
      </c>
      <c r="E759">
        <v>2022</v>
      </c>
      <c r="F759" t="s">
        <v>1781</v>
      </c>
      <c r="G759" s="259">
        <f t="shared" si="109"/>
        <v>1.1226268817204299</v>
      </c>
      <c r="H759">
        <v>2020</v>
      </c>
      <c r="I759" t="s">
        <v>1783</v>
      </c>
      <c r="J759" t="s">
        <v>1849</v>
      </c>
      <c r="K759" s="336">
        <v>2040</v>
      </c>
      <c r="Q759" s="80">
        <f>$AL$187+$AL$188</f>
        <v>20.822766364862051</v>
      </c>
      <c r="X759" s="54" t="s">
        <v>2988</v>
      </c>
      <c r="Y759" s="377">
        <v>2</v>
      </c>
      <c r="Z759" s="377">
        <v>1</v>
      </c>
      <c r="AA759" s="377">
        <v>1</v>
      </c>
      <c r="AB759" s="377">
        <v>3</v>
      </c>
      <c r="AC759" s="377">
        <v>1</v>
      </c>
    </row>
    <row r="760" spans="1:29" x14ac:dyDescent="0.25">
      <c r="A760" t="s">
        <v>2073</v>
      </c>
      <c r="B760" t="s">
        <v>95</v>
      </c>
      <c r="C760" t="s">
        <v>2979</v>
      </c>
      <c r="D760">
        <v>2023</v>
      </c>
      <c r="E760">
        <v>2022</v>
      </c>
      <c r="F760" t="s">
        <v>1781</v>
      </c>
      <c r="G760" s="259">
        <f t="shared" si="109"/>
        <v>1.1226268817204299</v>
      </c>
      <c r="H760">
        <v>2020</v>
      </c>
      <c r="I760" t="s">
        <v>1783</v>
      </c>
      <c r="J760" t="s">
        <v>1849</v>
      </c>
      <c r="K760" s="336">
        <v>2045</v>
      </c>
      <c r="Q760" s="80">
        <f>$AM$187+$AM$188</f>
        <v>21.340697884862152</v>
      </c>
      <c r="X760" s="54" t="s">
        <v>2988</v>
      </c>
      <c r="Y760" s="377">
        <v>2</v>
      </c>
      <c r="Z760" s="377">
        <v>1</v>
      </c>
      <c r="AA760" s="377">
        <v>1</v>
      </c>
      <c r="AB760" s="377">
        <v>3</v>
      </c>
      <c r="AC760" s="377">
        <v>1</v>
      </c>
    </row>
    <row r="761" spans="1:29" x14ac:dyDescent="0.25">
      <c r="A761" t="s">
        <v>2073</v>
      </c>
      <c r="B761" t="s">
        <v>95</v>
      </c>
      <c r="C761" t="s">
        <v>2979</v>
      </c>
      <c r="D761">
        <v>2023</v>
      </c>
      <c r="E761">
        <v>2022</v>
      </c>
      <c r="F761" t="s">
        <v>1781</v>
      </c>
      <c r="G761" s="259">
        <f t="shared" si="109"/>
        <v>1.1226268817204299</v>
      </c>
      <c r="H761">
        <v>2020</v>
      </c>
      <c r="I761" t="s">
        <v>1783</v>
      </c>
      <c r="J761" t="s">
        <v>1849</v>
      </c>
      <c r="K761" s="336">
        <v>2050</v>
      </c>
      <c r="Q761" s="80">
        <f>$AN$187+$AN$188</f>
        <v>21.867050181084533</v>
      </c>
      <c r="X761" s="54" t="s">
        <v>2988</v>
      </c>
      <c r="Y761" s="377">
        <v>2</v>
      </c>
      <c r="Z761" s="377">
        <v>1</v>
      </c>
      <c r="AA761" s="377">
        <v>1</v>
      </c>
      <c r="AB761" s="377">
        <v>3</v>
      </c>
      <c r="AC761" s="377">
        <v>1</v>
      </c>
    </row>
    <row r="762" spans="1:29" x14ac:dyDescent="0.25">
      <c r="A762" t="s">
        <v>2078</v>
      </c>
      <c r="B762" t="s">
        <v>95</v>
      </c>
      <c r="C762" t="s">
        <v>2829</v>
      </c>
      <c r="D762">
        <v>2023</v>
      </c>
      <c r="E762">
        <v>2020</v>
      </c>
      <c r="F762" t="s">
        <v>1781</v>
      </c>
      <c r="G762" s="259">
        <f t="shared" ref="G762:G768" si="112">USD_CAD_2020</f>
        <v>1.3414999999999999</v>
      </c>
      <c r="H762">
        <v>2020</v>
      </c>
      <c r="I762" t="s">
        <v>1783</v>
      </c>
      <c r="J762" t="s">
        <v>1849</v>
      </c>
      <c r="K762" s="336">
        <v>2021</v>
      </c>
      <c r="Q762" s="80">
        <f t="shared" ref="Q762:Q768" si="113">AVERAGE($AS$153:$AS$154)</f>
        <v>53.947379868644688</v>
      </c>
      <c r="X762" s="54" t="s">
        <v>2881</v>
      </c>
      <c r="Y762" s="377">
        <v>2</v>
      </c>
      <c r="Z762" s="377">
        <v>1</v>
      </c>
      <c r="AA762" s="377">
        <v>1</v>
      </c>
      <c r="AB762" s="377">
        <v>3</v>
      </c>
      <c r="AC762" s="377">
        <v>1</v>
      </c>
    </row>
    <row r="763" spans="1:29" x14ac:dyDescent="0.25">
      <c r="A763" t="s">
        <v>2078</v>
      </c>
      <c r="B763" t="s">
        <v>95</v>
      </c>
      <c r="C763" t="s">
        <v>2829</v>
      </c>
      <c r="D763">
        <v>2023</v>
      </c>
      <c r="E763">
        <v>2020</v>
      </c>
      <c r="F763" t="s">
        <v>1781</v>
      </c>
      <c r="G763" s="259">
        <f t="shared" si="112"/>
        <v>1.3414999999999999</v>
      </c>
      <c r="H763">
        <v>2020</v>
      </c>
      <c r="I763" t="s">
        <v>1783</v>
      </c>
      <c r="J763" t="s">
        <v>1849</v>
      </c>
      <c r="K763" s="336">
        <v>2025</v>
      </c>
      <c r="Q763" s="80">
        <f t="shared" si="113"/>
        <v>53.947379868644688</v>
      </c>
      <c r="X763" s="54" t="s">
        <v>2881</v>
      </c>
      <c r="Y763" s="377">
        <v>2</v>
      </c>
      <c r="Z763" s="377">
        <v>1</v>
      </c>
      <c r="AA763" s="377">
        <v>1</v>
      </c>
      <c r="AB763" s="377">
        <v>3</v>
      </c>
      <c r="AC763" s="377">
        <v>1</v>
      </c>
    </row>
    <row r="764" spans="1:29" x14ac:dyDescent="0.25">
      <c r="A764" t="s">
        <v>2078</v>
      </c>
      <c r="B764" t="s">
        <v>95</v>
      </c>
      <c r="C764" t="s">
        <v>2829</v>
      </c>
      <c r="D764">
        <v>2023</v>
      </c>
      <c r="E764">
        <v>2020</v>
      </c>
      <c r="F764" t="s">
        <v>1781</v>
      </c>
      <c r="G764" s="259">
        <f t="shared" si="112"/>
        <v>1.3414999999999999</v>
      </c>
      <c r="H764">
        <v>2020</v>
      </c>
      <c r="I764" t="s">
        <v>1783</v>
      </c>
      <c r="J764" t="s">
        <v>1849</v>
      </c>
      <c r="K764" s="336">
        <v>2030</v>
      </c>
      <c r="Q764" s="80">
        <f t="shared" si="113"/>
        <v>53.947379868644688</v>
      </c>
      <c r="X764" s="54" t="s">
        <v>2881</v>
      </c>
      <c r="Y764" s="377">
        <v>2</v>
      </c>
      <c r="Z764" s="377">
        <v>1</v>
      </c>
      <c r="AA764" s="377">
        <v>1</v>
      </c>
      <c r="AB764" s="377">
        <v>3</v>
      </c>
      <c r="AC764" s="377">
        <v>1</v>
      </c>
    </row>
    <row r="765" spans="1:29" x14ac:dyDescent="0.25">
      <c r="A765" t="s">
        <v>2078</v>
      </c>
      <c r="B765" t="s">
        <v>95</v>
      </c>
      <c r="C765" t="s">
        <v>2829</v>
      </c>
      <c r="D765">
        <v>2023</v>
      </c>
      <c r="E765">
        <v>2020</v>
      </c>
      <c r="F765" t="s">
        <v>1781</v>
      </c>
      <c r="G765" s="259">
        <f t="shared" si="112"/>
        <v>1.3414999999999999</v>
      </c>
      <c r="H765">
        <v>2020</v>
      </c>
      <c r="I765" t="s">
        <v>1783</v>
      </c>
      <c r="J765" t="s">
        <v>1849</v>
      </c>
      <c r="K765" s="336">
        <v>2035</v>
      </c>
      <c r="Q765" s="80">
        <f t="shared" si="113"/>
        <v>53.947379868644688</v>
      </c>
      <c r="X765" s="54" t="s">
        <v>2881</v>
      </c>
      <c r="Y765" s="377">
        <v>2</v>
      </c>
      <c r="Z765" s="377">
        <v>1</v>
      </c>
      <c r="AA765" s="377">
        <v>1</v>
      </c>
      <c r="AB765" s="377">
        <v>3</v>
      </c>
      <c r="AC765" s="377">
        <v>1</v>
      </c>
    </row>
    <row r="766" spans="1:29" x14ac:dyDescent="0.25">
      <c r="A766" t="s">
        <v>2078</v>
      </c>
      <c r="B766" t="s">
        <v>95</v>
      </c>
      <c r="C766" t="s">
        <v>2829</v>
      </c>
      <c r="D766">
        <v>2023</v>
      </c>
      <c r="E766">
        <v>2020</v>
      </c>
      <c r="F766" t="s">
        <v>1781</v>
      </c>
      <c r="G766" s="259">
        <f t="shared" si="112"/>
        <v>1.3414999999999999</v>
      </c>
      <c r="H766">
        <v>2020</v>
      </c>
      <c r="I766" t="s">
        <v>1783</v>
      </c>
      <c r="J766" t="s">
        <v>1849</v>
      </c>
      <c r="K766" s="336">
        <v>2040</v>
      </c>
      <c r="Q766" s="80">
        <f t="shared" si="113"/>
        <v>53.947379868644688</v>
      </c>
      <c r="X766" s="54" t="s">
        <v>2881</v>
      </c>
      <c r="Y766" s="377">
        <v>2</v>
      </c>
      <c r="Z766" s="377">
        <v>1</v>
      </c>
      <c r="AA766" s="377">
        <v>1</v>
      </c>
      <c r="AB766" s="377">
        <v>3</v>
      </c>
      <c r="AC766" s="377">
        <v>1</v>
      </c>
    </row>
    <row r="767" spans="1:29" x14ac:dyDescent="0.25">
      <c r="A767" t="s">
        <v>2078</v>
      </c>
      <c r="B767" t="s">
        <v>95</v>
      </c>
      <c r="C767" t="s">
        <v>2829</v>
      </c>
      <c r="D767">
        <v>2023</v>
      </c>
      <c r="E767">
        <v>2020</v>
      </c>
      <c r="F767" t="s">
        <v>1781</v>
      </c>
      <c r="G767" s="259">
        <f t="shared" si="112"/>
        <v>1.3414999999999999</v>
      </c>
      <c r="H767">
        <v>2020</v>
      </c>
      <c r="I767" t="s">
        <v>1783</v>
      </c>
      <c r="J767" t="s">
        <v>1849</v>
      </c>
      <c r="K767" s="336">
        <v>2045</v>
      </c>
      <c r="Q767" s="80">
        <f t="shared" si="113"/>
        <v>53.947379868644688</v>
      </c>
      <c r="X767" s="54" t="s">
        <v>2881</v>
      </c>
      <c r="Y767" s="377">
        <v>2</v>
      </c>
      <c r="Z767" s="377">
        <v>1</v>
      </c>
      <c r="AA767" s="377">
        <v>1</v>
      </c>
      <c r="AB767" s="377">
        <v>3</v>
      </c>
      <c r="AC767" s="377">
        <v>1</v>
      </c>
    </row>
    <row r="768" spans="1:29" x14ac:dyDescent="0.25">
      <c r="A768" t="s">
        <v>2078</v>
      </c>
      <c r="B768" t="s">
        <v>95</v>
      </c>
      <c r="C768" t="s">
        <v>2829</v>
      </c>
      <c r="D768">
        <v>2023</v>
      </c>
      <c r="E768">
        <v>2020</v>
      </c>
      <c r="F768" t="s">
        <v>1781</v>
      </c>
      <c r="G768" s="259">
        <f t="shared" si="112"/>
        <v>1.3414999999999999</v>
      </c>
      <c r="H768">
        <v>2020</v>
      </c>
      <c r="I768" t="s">
        <v>1783</v>
      </c>
      <c r="J768" t="s">
        <v>1849</v>
      </c>
      <c r="K768" s="336">
        <v>2050</v>
      </c>
      <c r="Q768" s="80">
        <f t="shared" si="113"/>
        <v>53.947379868644688</v>
      </c>
      <c r="X768" s="54" t="s">
        <v>2881</v>
      </c>
      <c r="Y768" s="377">
        <v>2</v>
      </c>
      <c r="Z768" s="377">
        <v>1</v>
      </c>
      <c r="AA768" s="377">
        <v>1</v>
      </c>
      <c r="AB768" s="377">
        <v>3</v>
      </c>
      <c r="AC768" s="377">
        <v>1</v>
      </c>
    </row>
    <row r="769" spans="1:29" x14ac:dyDescent="0.25">
      <c r="A769" t="s">
        <v>2883</v>
      </c>
      <c r="B769" t="s">
        <v>95</v>
      </c>
      <c r="C769" t="s">
        <v>2896</v>
      </c>
      <c r="D769">
        <v>2022</v>
      </c>
      <c r="E769">
        <v>2018</v>
      </c>
      <c r="F769" t="s">
        <v>1781</v>
      </c>
      <c r="G769" s="259">
        <f t="shared" ref="G769:G775" si="114">USD2018_to_CAD2020</f>
        <v>1.3371624000000004</v>
      </c>
      <c r="H769">
        <v>2020</v>
      </c>
      <c r="I769" t="s">
        <v>1783</v>
      </c>
      <c r="J769" t="s">
        <v>1849</v>
      </c>
      <c r="K769" s="336">
        <v>2021</v>
      </c>
      <c r="Q769" s="80">
        <f>'OEO &amp; EPAUS9rT Data'!$S$119*USD2018_to_CAD2020</f>
        <v>5.5759672080000016</v>
      </c>
      <c r="X769" s="54" t="s">
        <v>4745</v>
      </c>
      <c r="Y769" s="377">
        <v>3</v>
      </c>
      <c r="Z769" s="377">
        <v>1</v>
      </c>
      <c r="AA769" s="377">
        <v>1</v>
      </c>
      <c r="AB769" s="377">
        <v>3</v>
      </c>
      <c r="AC769" s="377">
        <v>1</v>
      </c>
    </row>
    <row r="770" spans="1:29" x14ac:dyDescent="0.25">
      <c r="A770" t="s">
        <v>2883</v>
      </c>
      <c r="B770" t="s">
        <v>95</v>
      </c>
      <c r="C770" t="s">
        <v>2896</v>
      </c>
      <c r="D770">
        <v>2022</v>
      </c>
      <c r="E770">
        <v>2018</v>
      </c>
      <c r="F770" t="s">
        <v>1781</v>
      </c>
      <c r="G770" s="259">
        <f t="shared" si="114"/>
        <v>1.3371624000000004</v>
      </c>
      <c r="H770">
        <v>2020</v>
      </c>
      <c r="I770" t="s">
        <v>1783</v>
      </c>
      <c r="J770" t="s">
        <v>1849</v>
      </c>
      <c r="K770" s="336">
        <v>2025</v>
      </c>
      <c r="Q770" s="80">
        <f>'OEO &amp; EPAUS9rT Data'!$S$119*USD2018_to_CAD2020</f>
        <v>5.5759672080000016</v>
      </c>
      <c r="X770" s="54" t="s">
        <v>4745</v>
      </c>
      <c r="Y770" s="377">
        <v>3</v>
      </c>
      <c r="Z770" s="377">
        <v>1</v>
      </c>
      <c r="AA770" s="377">
        <v>1</v>
      </c>
      <c r="AB770" s="377">
        <v>3</v>
      </c>
      <c r="AC770" s="377">
        <v>1</v>
      </c>
    </row>
    <row r="771" spans="1:29" x14ac:dyDescent="0.25">
      <c r="A771" t="s">
        <v>2883</v>
      </c>
      <c r="B771" t="s">
        <v>95</v>
      </c>
      <c r="C771" t="s">
        <v>2896</v>
      </c>
      <c r="D771">
        <v>2022</v>
      </c>
      <c r="E771">
        <v>2018</v>
      </c>
      <c r="F771" t="s">
        <v>1781</v>
      </c>
      <c r="G771" s="259">
        <f t="shared" si="114"/>
        <v>1.3371624000000004</v>
      </c>
      <c r="H771">
        <v>2020</v>
      </c>
      <c r="I771" t="s">
        <v>1783</v>
      </c>
      <c r="J771" t="s">
        <v>1849</v>
      </c>
      <c r="K771" s="336">
        <v>2030</v>
      </c>
      <c r="Q771" s="80">
        <f>'OEO &amp; EPAUS9rT Data'!$S$119*USD2018_to_CAD2020</f>
        <v>5.5759672080000016</v>
      </c>
      <c r="X771" s="54" t="s">
        <v>4745</v>
      </c>
      <c r="Y771" s="377">
        <v>3</v>
      </c>
      <c r="Z771" s="377">
        <v>1</v>
      </c>
      <c r="AA771" s="377">
        <v>1</v>
      </c>
      <c r="AB771" s="377">
        <v>3</v>
      </c>
      <c r="AC771" s="377">
        <v>1</v>
      </c>
    </row>
    <row r="772" spans="1:29" x14ac:dyDescent="0.25">
      <c r="A772" t="s">
        <v>2883</v>
      </c>
      <c r="B772" t="s">
        <v>95</v>
      </c>
      <c r="C772" t="s">
        <v>2896</v>
      </c>
      <c r="D772">
        <v>2022</v>
      </c>
      <c r="E772">
        <v>2018</v>
      </c>
      <c r="F772" t="s">
        <v>1781</v>
      </c>
      <c r="G772" s="259">
        <f t="shared" si="114"/>
        <v>1.3371624000000004</v>
      </c>
      <c r="H772">
        <v>2020</v>
      </c>
      <c r="I772" t="s">
        <v>1783</v>
      </c>
      <c r="J772" t="s">
        <v>1849</v>
      </c>
      <c r="K772" s="336">
        <v>2035</v>
      </c>
      <c r="Q772" s="80">
        <f>'OEO &amp; EPAUS9rT Data'!$S$119*USD2018_to_CAD2020</f>
        <v>5.5759672080000016</v>
      </c>
      <c r="X772" s="54" t="s">
        <v>4745</v>
      </c>
      <c r="Y772" s="377">
        <v>3</v>
      </c>
      <c r="Z772" s="377">
        <v>1</v>
      </c>
      <c r="AA772" s="377">
        <v>1</v>
      </c>
      <c r="AB772" s="377">
        <v>3</v>
      </c>
      <c r="AC772" s="377">
        <v>1</v>
      </c>
    </row>
    <row r="773" spans="1:29" x14ac:dyDescent="0.25">
      <c r="A773" t="s">
        <v>2883</v>
      </c>
      <c r="B773" t="s">
        <v>95</v>
      </c>
      <c r="C773" t="s">
        <v>2896</v>
      </c>
      <c r="D773">
        <v>2022</v>
      </c>
      <c r="E773">
        <v>2018</v>
      </c>
      <c r="F773" t="s">
        <v>1781</v>
      </c>
      <c r="G773" s="259">
        <f t="shared" si="114"/>
        <v>1.3371624000000004</v>
      </c>
      <c r="H773">
        <v>2020</v>
      </c>
      <c r="I773" t="s">
        <v>1783</v>
      </c>
      <c r="J773" t="s">
        <v>1849</v>
      </c>
      <c r="K773" s="336">
        <v>2040</v>
      </c>
      <c r="Q773" s="80">
        <f>'OEO &amp; EPAUS9rT Data'!$S$119*USD2018_to_CAD2020</f>
        <v>5.5759672080000016</v>
      </c>
      <c r="X773" s="54" t="s">
        <v>4745</v>
      </c>
      <c r="Y773" s="377">
        <v>3</v>
      </c>
      <c r="Z773" s="377">
        <v>1</v>
      </c>
      <c r="AA773" s="377">
        <v>1</v>
      </c>
      <c r="AB773" s="377">
        <v>3</v>
      </c>
      <c r="AC773" s="377">
        <v>1</v>
      </c>
    </row>
    <row r="774" spans="1:29" x14ac:dyDescent="0.25">
      <c r="A774" t="s">
        <v>2883</v>
      </c>
      <c r="B774" t="s">
        <v>95</v>
      </c>
      <c r="C774" t="s">
        <v>2896</v>
      </c>
      <c r="D774">
        <v>2022</v>
      </c>
      <c r="E774">
        <v>2018</v>
      </c>
      <c r="F774" t="s">
        <v>1781</v>
      </c>
      <c r="G774" s="259">
        <f t="shared" si="114"/>
        <v>1.3371624000000004</v>
      </c>
      <c r="H774">
        <v>2020</v>
      </c>
      <c r="I774" t="s">
        <v>1783</v>
      </c>
      <c r="J774" t="s">
        <v>1849</v>
      </c>
      <c r="K774" s="336">
        <v>2045</v>
      </c>
      <c r="Q774" s="80">
        <f>'OEO &amp; EPAUS9rT Data'!$S$119*USD2018_to_CAD2020</f>
        <v>5.5759672080000016</v>
      </c>
      <c r="X774" s="54" t="s">
        <v>4745</v>
      </c>
      <c r="Y774" s="377">
        <v>3</v>
      </c>
      <c r="Z774" s="377">
        <v>1</v>
      </c>
      <c r="AA774" s="377">
        <v>1</v>
      </c>
      <c r="AB774" s="377">
        <v>3</v>
      </c>
      <c r="AC774" s="377">
        <v>1</v>
      </c>
    </row>
    <row r="775" spans="1:29" x14ac:dyDescent="0.25">
      <c r="A775" t="s">
        <v>2883</v>
      </c>
      <c r="B775" t="s">
        <v>95</v>
      </c>
      <c r="C775" t="s">
        <v>2896</v>
      </c>
      <c r="D775">
        <v>2022</v>
      </c>
      <c r="E775">
        <v>2018</v>
      </c>
      <c r="F775" t="s">
        <v>1781</v>
      </c>
      <c r="G775" s="259">
        <f t="shared" si="114"/>
        <v>1.3371624000000004</v>
      </c>
      <c r="H775">
        <v>2020</v>
      </c>
      <c r="I775" t="s">
        <v>1783</v>
      </c>
      <c r="J775" t="s">
        <v>1849</v>
      </c>
      <c r="K775" s="336">
        <v>2050</v>
      </c>
      <c r="Q775" s="80">
        <f>'OEO &amp; EPAUS9rT Data'!$S$119*USD2018_to_CAD2020</f>
        <v>5.5759672080000016</v>
      </c>
      <c r="X775" s="54" t="s">
        <v>4745</v>
      </c>
      <c r="Y775" s="377">
        <v>3</v>
      </c>
      <c r="Z775" s="377">
        <v>1</v>
      </c>
      <c r="AA775" s="377">
        <v>1</v>
      </c>
      <c r="AB775" s="377">
        <v>3</v>
      </c>
      <c r="AC775" s="377">
        <v>1</v>
      </c>
    </row>
    <row r="776" spans="1:29" x14ac:dyDescent="0.25">
      <c r="A776" t="s">
        <v>4693</v>
      </c>
      <c r="B776" t="s">
        <v>95</v>
      </c>
      <c r="C776" t="s">
        <v>4742</v>
      </c>
      <c r="D776">
        <v>2023</v>
      </c>
      <c r="E776">
        <v>2021</v>
      </c>
      <c r="F776" t="s">
        <v>1781</v>
      </c>
      <c r="G776" s="259">
        <f t="shared" ref="G776:G782" si="115">USD2021_to_CAD2020</f>
        <v>1.1642034728406054</v>
      </c>
      <c r="H776">
        <v>2020</v>
      </c>
      <c r="I776" t="s">
        <v>1783</v>
      </c>
      <c r="J776" t="s">
        <v>1849</v>
      </c>
      <c r="K776" s="336">
        <v>2021</v>
      </c>
      <c r="O776" s="80"/>
      <c r="P776" s="325"/>
      <c r="Q776" s="80">
        <f>'H2 Data'!$M$48</f>
        <v>3.182977599724361</v>
      </c>
      <c r="X776" s="54" t="s">
        <v>4746</v>
      </c>
      <c r="Y776" s="377">
        <v>3</v>
      </c>
      <c r="Z776" s="377">
        <v>1</v>
      </c>
      <c r="AA776" s="377">
        <v>1</v>
      </c>
      <c r="AB776" s="377">
        <v>3</v>
      </c>
      <c r="AC776" s="377">
        <v>1</v>
      </c>
    </row>
    <row r="777" spans="1:29" x14ac:dyDescent="0.25">
      <c r="A777" t="s">
        <v>4693</v>
      </c>
      <c r="B777" t="s">
        <v>95</v>
      </c>
      <c r="C777" t="s">
        <v>4742</v>
      </c>
      <c r="D777">
        <v>2023</v>
      </c>
      <c r="E777">
        <v>2021</v>
      </c>
      <c r="F777" t="s">
        <v>1781</v>
      </c>
      <c r="G777" s="259">
        <f t="shared" si="115"/>
        <v>1.1642034728406054</v>
      </c>
      <c r="H777">
        <v>2020</v>
      </c>
      <c r="I777" t="s">
        <v>1783</v>
      </c>
      <c r="J777" t="s">
        <v>1849</v>
      </c>
      <c r="K777" s="336">
        <v>2025</v>
      </c>
      <c r="P777" s="325"/>
      <c r="Q777" s="80">
        <f>'H2 Data'!$M$48</f>
        <v>3.182977599724361</v>
      </c>
      <c r="R777" s="80">
        <f>'H2 Data'!$N$48</f>
        <v>3.182977599724361</v>
      </c>
      <c r="X777" s="54" t="s">
        <v>4746</v>
      </c>
      <c r="Y777" s="377">
        <v>3</v>
      </c>
      <c r="Z777" s="377">
        <v>1</v>
      </c>
      <c r="AA777" s="377">
        <v>1</v>
      </c>
      <c r="AB777" s="377">
        <v>3</v>
      </c>
      <c r="AC777" s="377">
        <v>1</v>
      </c>
    </row>
    <row r="778" spans="1:29" x14ac:dyDescent="0.25">
      <c r="A778" t="s">
        <v>4693</v>
      </c>
      <c r="B778" t="s">
        <v>95</v>
      </c>
      <c r="C778" t="s">
        <v>4742</v>
      </c>
      <c r="D778">
        <v>2023</v>
      </c>
      <c r="E778">
        <v>2021</v>
      </c>
      <c r="F778" t="s">
        <v>1781</v>
      </c>
      <c r="G778" s="259">
        <f t="shared" si="115"/>
        <v>1.1642034728406054</v>
      </c>
      <c r="H778">
        <v>2020</v>
      </c>
      <c r="I778" t="s">
        <v>1783</v>
      </c>
      <c r="J778" t="s">
        <v>1849</v>
      </c>
      <c r="K778" s="336">
        <v>2030</v>
      </c>
      <c r="M778" s="80"/>
      <c r="N778" s="80"/>
      <c r="O778" s="80"/>
      <c r="P778" s="325"/>
      <c r="Q778" s="80">
        <f>'H2 Data'!$M$48</f>
        <v>3.182977599724361</v>
      </c>
      <c r="R778" s="80">
        <f>'H2 Data'!$N$48</f>
        <v>3.182977599724361</v>
      </c>
      <c r="S778" s="80">
        <f>'H2 Data'!$O$48</f>
        <v>3.182977599724361</v>
      </c>
      <c r="X778" s="54" t="s">
        <v>4746</v>
      </c>
      <c r="Y778" s="377">
        <v>3</v>
      </c>
      <c r="Z778" s="377">
        <v>1</v>
      </c>
      <c r="AA778" s="377">
        <v>1</v>
      </c>
      <c r="AB778" s="377">
        <v>3</v>
      </c>
      <c r="AC778" s="377">
        <v>1</v>
      </c>
    </row>
    <row r="779" spans="1:29" x14ac:dyDescent="0.25">
      <c r="A779" t="s">
        <v>4693</v>
      </c>
      <c r="B779" t="s">
        <v>95</v>
      </c>
      <c r="C779" t="s">
        <v>4742</v>
      </c>
      <c r="D779">
        <v>2023</v>
      </c>
      <c r="E779">
        <v>2021</v>
      </c>
      <c r="F779" t="s">
        <v>1781</v>
      </c>
      <c r="G779" s="259">
        <f t="shared" si="115"/>
        <v>1.1642034728406054</v>
      </c>
      <c r="H779">
        <v>2020</v>
      </c>
      <c r="I779" t="s">
        <v>1783</v>
      </c>
      <c r="J779" t="s">
        <v>1849</v>
      </c>
      <c r="K779" s="336">
        <v>2035</v>
      </c>
      <c r="N779" s="80"/>
      <c r="O779" s="80"/>
      <c r="P779" s="325"/>
      <c r="Q779" s="80">
        <f>'H2 Data'!$M$48</f>
        <v>3.182977599724361</v>
      </c>
      <c r="R779" s="80">
        <f>'H2 Data'!$N$48</f>
        <v>3.182977599724361</v>
      </c>
      <c r="S779" s="80">
        <f>'H2 Data'!$O$48</f>
        <v>3.182977599724361</v>
      </c>
      <c r="T779" s="80">
        <f>'H2 Data'!$P$48</f>
        <v>3.182977599724361</v>
      </c>
      <c r="X779" s="54" t="s">
        <v>4746</v>
      </c>
      <c r="Y779" s="377">
        <v>3</v>
      </c>
      <c r="Z779" s="377">
        <v>1</v>
      </c>
      <c r="AA779" s="377">
        <v>1</v>
      </c>
      <c r="AB779" s="377">
        <v>3</v>
      </c>
      <c r="AC779" s="377">
        <v>1</v>
      </c>
    </row>
    <row r="780" spans="1:29" x14ac:dyDescent="0.25">
      <c r="A780" t="s">
        <v>4693</v>
      </c>
      <c r="B780" t="s">
        <v>95</v>
      </c>
      <c r="C780" t="s">
        <v>4742</v>
      </c>
      <c r="D780">
        <v>2023</v>
      </c>
      <c r="E780">
        <v>2021</v>
      </c>
      <c r="F780" t="s">
        <v>1781</v>
      </c>
      <c r="G780" s="259">
        <f t="shared" si="115"/>
        <v>1.1642034728406054</v>
      </c>
      <c r="H780">
        <v>2020</v>
      </c>
      <c r="I780" t="s">
        <v>1783</v>
      </c>
      <c r="J780" t="s">
        <v>1849</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4746</v>
      </c>
      <c r="Y780" s="377">
        <v>3</v>
      </c>
      <c r="Z780" s="377">
        <v>1</v>
      </c>
      <c r="AA780" s="377">
        <v>1</v>
      </c>
      <c r="AB780" s="377">
        <v>3</v>
      </c>
      <c r="AC780" s="377">
        <v>1</v>
      </c>
    </row>
    <row r="781" spans="1:29" x14ac:dyDescent="0.25">
      <c r="A781" t="s">
        <v>4693</v>
      </c>
      <c r="B781" t="s">
        <v>95</v>
      </c>
      <c r="C781" t="s">
        <v>4742</v>
      </c>
      <c r="D781">
        <v>2023</v>
      </c>
      <c r="E781">
        <v>2021</v>
      </c>
      <c r="F781" t="s">
        <v>1781</v>
      </c>
      <c r="G781" s="259">
        <f t="shared" si="115"/>
        <v>1.1642034728406054</v>
      </c>
      <c r="H781">
        <v>2020</v>
      </c>
      <c r="I781" t="s">
        <v>1783</v>
      </c>
      <c r="J781" t="s">
        <v>1849</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4746</v>
      </c>
      <c r="Y781" s="377">
        <v>3</v>
      </c>
      <c r="Z781" s="377">
        <v>1</v>
      </c>
      <c r="AA781" s="377">
        <v>1</v>
      </c>
      <c r="AB781" s="377">
        <v>3</v>
      </c>
      <c r="AC781" s="377">
        <v>1</v>
      </c>
    </row>
    <row r="782" spans="1:29" x14ac:dyDescent="0.25">
      <c r="A782" t="s">
        <v>4693</v>
      </c>
      <c r="B782" t="s">
        <v>95</v>
      </c>
      <c r="C782" t="s">
        <v>4742</v>
      </c>
      <c r="D782">
        <v>2023</v>
      </c>
      <c r="E782">
        <v>2021</v>
      </c>
      <c r="F782" t="s">
        <v>1781</v>
      </c>
      <c r="G782" s="259">
        <f t="shared" si="115"/>
        <v>1.1642034728406054</v>
      </c>
      <c r="H782">
        <v>2020</v>
      </c>
      <c r="I782" t="s">
        <v>1783</v>
      </c>
      <c r="J782" t="s">
        <v>1849</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4746</v>
      </c>
      <c r="Y782" s="377">
        <v>3</v>
      </c>
      <c r="Z782" s="377">
        <v>1</v>
      </c>
      <c r="AA782" s="377">
        <v>1</v>
      </c>
      <c r="AB782" s="377">
        <v>3</v>
      </c>
      <c r="AC782" s="377">
        <v>1</v>
      </c>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0" bestFit="1" customWidth="1"/>
    <col min="10" max="10" width="11.42578125" style="781" customWidth="1"/>
    <col min="11" max="11" width="46.85546875" style="52" customWidth="1"/>
    <col min="12" max="16" width="4.5703125" style="377"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58" t="s">
        <v>2080</v>
      </c>
      <c r="J1" s="1060"/>
      <c r="K1" s="54"/>
      <c r="L1" s="1038" t="s">
        <v>147</v>
      </c>
      <c r="M1" s="1039"/>
      <c r="N1" s="1039"/>
      <c r="O1" s="1039"/>
      <c r="P1" s="1039"/>
      <c r="Q1" s="1044" t="s">
        <v>2640</v>
      </c>
      <c r="S1" s="1044" t="s">
        <v>2641</v>
      </c>
      <c r="T1" s="212" t="s">
        <v>4087</v>
      </c>
      <c r="AB1" s="159" t="s">
        <v>2220</v>
      </c>
    </row>
    <row r="2" spans="1:35" s="106" customFormat="1" ht="105" thickBot="1" x14ac:dyDescent="0.3">
      <c r="A2" s="722" t="s">
        <v>92</v>
      </c>
      <c r="B2" s="722" t="s">
        <v>282</v>
      </c>
      <c r="C2" s="722" t="s">
        <v>283</v>
      </c>
      <c r="D2" s="722" t="s">
        <v>2081</v>
      </c>
      <c r="E2" s="722" t="s">
        <v>93</v>
      </c>
      <c r="F2" s="722" t="s">
        <v>179</v>
      </c>
      <c r="G2" s="722" t="s">
        <v>143</v>
      </c>
      <c r="H2" s="722" t="s">
        <v>94</v>
      </c>
      <c r="I2" s="727">
        <v>2021</v>
      </c>
      <c r="J2" s="723">
        <v>2025</v>
      </c>
      <c r="K2" s="723" t="s">
        <v>91</v>
      </c>
      <c r="L2" s="722" t="s">
        <v>148</v>
      </c>
      <c r="M2" s="722" t="s">
        <v>152</v>
      </c>
      <c r="N2" s="722" t="s">
        <v>149</v>
      </c>
      <c r="O2" s="722" t="s">
        <v>150</v>
      </c>
      <c r="P2" s="722" t="s">
        <v>151</v>
      </c>
      <c r="Q2" s="1044"/>
      <c r="R2" s="735"/>
      <c r="S2" s="1044"/>
      <c r="T2" s="281" t="s">
        <v>2184</v>
      </c>
      <c r="U2" s="281" t="s">
        <v>2180</v>
      </c>
      <c r="V2" s="281" t="s">
        <v>2181</v>
      </c>
      <c r="W2" s="281" t="s">
        <v>2182</v>
      </c>
      <c r="X2" s="281" t="s">
        <v>2183</v>
      </c>
      <c r="Y2" s="281" t="s">
        <v>10</v>
      </c>
      <c r="Z2" s="281" t="s">
        <v>2179</v>
      </c>
      <c r="AB2" s="281" t="s">
        <v>225</v>
      </c>
      <c r="AC2" s="281" t="s">
        <v>2190</v>
      </c>
      <c r="AD2" s="281" t="s">
        <v>8</v>
      </c>
      <c r="AE2" s="281" t="s">
        <v>14</v>
      </c>
      <c r="AF2" s="281" t="s">
        <v>10</v>
      </c>
      <c r="AH2" s="281" t="s">
        <v>2184</v>
      </c>
      <c r="AI2" s="281" t="s">
        <v>8</v>
      </c>
    </row>
    <row r="3" spans="1:35" ht="15.75" thickTop="1" x14ac:dyDescent="0.25">
      <c r="A3" s="234" t="s">
        <v>2067</v>
      </c>
      <c r="B3" t="s">
        <v>436</v>
      </c>
      <c r="C3" t="s">
        <v>2115</v>
      </c>
      <c r="D3" t="s">
        <v>2035</v>
      </c>
      <c r="E3" t="s">
        <v>95</v>
      </c>
      <c r="F3" t="s">
        <v>4089</v>
      </c>
      <c r="G3">
        <v>2024</v>
      </c>
      <c r="H3" t="s">
        <v>2638</v>
      </c>
      <c r="I3" s="786">
        <f>$U$4+$V$4</f>
        <v>18.308423881293407</v>
      </c>
      <c r="J3" s="787"/>
      <c r="K3" s="52" t="s">
        <v>2650</v>
      </c>
      <c r="L3" s="377">
        <v>1</v>
      </c>
      <c r="M3" s="377">
        <v>1</v>
      </c>
      <c r="N3" s="377">
        <v>1</v>
      </c>
      <c r="O3" s="377">
        <v>2</v>
      </c>
      <c r="P3" s="377">
        <v>1</v>
      </c>
      <c r="Q3" s="1044"/>
      <c r="S3" s="1044"/>
      <c r="T3" t="s">
        <v>108</v>
      </c>
      <c r="U3" s="259">
        <v>20.227635885665897</v>
      </c>
      <c r="V3" s="593">
        <v>5.9345345670634804E-3</v>
      </c>
      <c r="W3" s="593">
        <v>1.04303940737112E-4</v>
      </c>
      <c r="X3" s="593">
        <v>6.0632734279449298E-2</v>
      </c>
      <c r="Y3" s="593">
        <v>1.1850747413351399E-4</v>
      </c>
      <c r="Z3" s="593">
        <v>8.4901129707434008E-9</v>
      </c>
      <c r="AB3" t="s">
        <v>241</v>
      </c>
      <c r="AC3" t="s">
        <v>2487</v>
      </c>
      <c r="AD3" s="73">
        <f>('GREET-AFLEET Data'!J185*'GREET-AFLEET Data'!K168 + 'GREET-AFLEET Data'!K185)/MJ_MMBtu*'Conversion Factors'!E141</f>
        <v>8.0806132770435202</v>
      </c>
      <c r="AE3" s="593">
        <f>('GREET-AFLEET Data'!J183*'GREET-AFLEET Data'!K168 + 'GREET-AFLEET Data'!K183)/MJ_MMBtu*'Conversion Factors'!E141</f>
        <v>0.21833231322932736</v>
      </c>
      <c r="AF3" s="593">
        <f>('GREET-AFLEET Data'!J184*'GREET-AFLEET Data'!K168 + 'GREET-AFLEET Data'!K184)/MJ_MMBtu*'Conversion Factors'!E141</f>
        <v>1.3801353050127375E-3</v>
      </c>
      <c r="AH3" t="s">
        <v>2804</v>
      </c>
      <c r="AI3" s="73">
        <f>U3+V3</f>
        <v>20.233570420232962</v>
      </c>
    </row>
    <row r="4" spans="1:35" x14ac:dyDescent="0.25">
      <c r="A4" t="s">
        <v>2082</v>
      </c>
      <c r="B4" t="s">
        <v>436</v>
      </c>
      <c r="C4" t="s">
        <v>2116</v>
      </c>
      <c r="D4" t="s">
        <v>2035</v>
      </c>
      <c r="E4" t="s">
        <v>95</v>
      </c>
      <c r="F4" t="s">
        <v>2126</v>
      </c>
      <c r="G4">
        <v>2023</v>
      </c>
      <c r="H4" t="s">
        <v>2638</v>
      </c>
      <c r="I4" s="786">
        <f>0.5*($AD$25)+0.5*($AD$26)</f>
        <v>16.627586473297196</v>
      </c>
      <c r="J4" s="787"/>
      <c r="K4" s="52" t="s">
        <v>4202</v>
      </c>
      <c r="L4" s="377">
        <v>1</v>
      </c>
      <c r="M4" s="377">
        <v>1</v>
      </c>
      <c r="N4" s="377">
        <v>1</v>
      </c>
      <c r="O4" s="377">
        <v>3</v>
      </c>
      <c r="P4" s="377">
        <v>1</v>
      </c>
      <c r="Q4" s="1044"/>
      <c r="S4" s="1044"/>
      <c r="T4" t="s">
        <v>107</v>
      </c>
      <c r="U4" s="259">
        <v>18.302579623872401</v>
      </c>
      <c r="V4" s="593">
        <v>5.8442574210082398E-3</v>
      </c>
      <c r="W4" s="593">
        <v>1.02717251505522E-4</v>
      </c>
      <c r="X4" s="593">
        <v>6.4770519400493803E-2</v>
      </c>
      <c r="Y4" s="593">
        <v>9.8558613594001605E-5</v>
      </c>
      <c r="Z4" s="593">
        <v>8.3609599327041307E-9</v>
      </c>
      <c r="AB4" t="s">
        <v>2193</v>
      </c>
      <c r="AC4" t="s">
        <v>2194</v>
      </c>
      <c r="AD4" s="73">
        <v>1.4317003726333499</v>
      </c>
      <c r="AE4" s="593">
        <v>0.131961437883691</v>
      </c>
      <c r="AF4" s="593">
        <v>2.8904573798628701E-5</v>
      </c>
      <c r="AH4" t="s">
        <v>2807</v>
      </c>
      <c r="AI4" s="73">
        <f>AD7</f>
        <v>14.88538992142754</v>
      </c>
    </row>
    <row r="5" spans="1:35" x14ac:dyDescent="0.25">
      <c r="A5" t="s">
        <v>2068</v>
      </c>
      <c r="B5" t="s">
        <v>436</v>
      </c>
      <c r="C5" t="s">
        <v>2117</v>
      </c>
      <c r="D5" t="s">
        <v>2035</v>
      </c>
      <c r="E5" t="s">
        <v>95</v>
      </c>
      <c r="F5" t="s">
        <v>4089</v>
      </c>
      <c r="G5">
        <v>2024</v>
      </c>
      <c r="H5" t="s">
        <v>2638</v>
      </c>
      <c r="I5" s="786">
        <f>$U$3+$V$3</f>
        <v>20.233570420232962</v>
      </c>
      <c r="J5" s="787"/>
      <c r="K5" s="52" t="s">
        <v>2649</v>
      </c>
      <c r="L5" s="377">
        <v>1</v>
      </c>
      <c r="M5" s="377">
        <v>1</v>
      </c>
      <c r="N5" s="377">
        <v>1</v>
      </c>
      <c r="O5" s="377">
        <v>2</v>
      </c>
      <c r="P5" s="377">
        <v>1</v>
      </c>
      <c r="Q5" s="1044"/>
      <c r="S5" s="1044"/>
      <c r="T5" t="s">
        <v>241</v>
      </c>
      <c r="U5" s="259">
        <v>8.9759296929246108</v>
      </c>
      <c r="V5" s="593">
        <v>4.5151515622345604E-3</v>
      </c>
      <c r="W5" s="593">
        <v>7.9357209358326701E-5</v>
      </c>
      <c r="X5" s="593">
        <v>0.146889760563642</v>
      </c>
      <c r="Y5" s="593">
        <v>4.5206726286654402E-4</v>
      </c>
      <c r="Z5" s="593">
        <v>6.3819809382671397E-9</v>
      </c>
      <c r="AB5" t="s">
        <v>2195</v>
      </c>
      <c r="AC5" t="s">
        <v>2196</v>
      </c>
      <c r="AD5" s="73">
        <v>9.2757906575467004</v>
      </c>
      <c r="AE5" s="593">
        <v>9.2759784047261498E-2</v>
      </c>
      <c r="AF5" s="593">
        <v>1.63915579439704E-4</v>
      </c>
      <c r="AH5" t="s">
        <v>2805</v>
      </c>
      <c r="AI5" s="73">
        <f>U4+V4</f>
        <v>18.308423881293407</v>
      </c>
    </row>
    <row r="6" spans="1:35" x14ac:dyDescent="0.25">
      <c r="A6" t="s">
        <v>2077</v>
      </c>
      <c r="B6" t="s">
        <v>436</v>
      </c>
      <c r="C6" t="s">
        <v>2118</v>
      </c>
      <c r="D6" t="s">
        <v>2035</v>
      </c>
      <c r="E6" t="s">
        <v>95</v>
      </c>
      <c r="F6" t="s">
        <v>2126</v>
      </c>
      <c r="G6">
        <v>2023</v>
      </c>
      <c r="H6" t="s">
        <v>2638</v>
      </c>
      <c r="I6" s="786">
        <f>$AD$24</f>
        <v>37.55910241364078</v>
      </c>
      <c r="J6" s="787"/>
      <c r="K6" s="52" t="s">
        <v>4203</v>
      </c>
      <c r="L6" s="377">
        <v>1</v>
      </c>
      <c r="M6" s="377">
        <v>1</v>
      </c>
      <c r="N6" s="377">
        <v>1</v>
      </c>
      <c r="O6" s="377">
        <v>3</v>
      </c>
      <c r="P6" s="377">
        <v>1</v>
      </c>
      <c r="Q6" s="1044"/>
      <c r="S6" s="1044"/>
      <c r="T6" t="s">
        <v>233</v>
      </c>
      <c r="U6" s="259">
        <v>17.0855136314572</v>
      </c>
      <c r="V6" s="593">
        <v>4.5151516288922796E-3</v>
      </c>
      <c r="W6" s="593">
        <v>7.9357210529886689E-5</v>
      </c>
      <c r="X6" s="593">
        <v>0.13580940012138501</v>
      </c>
      <c r="Y6" s="593">
        <v>3.6675918264140496E-4</v>
      </c>
      <c r="Z6" s="593">
        <v>6.3819810324850803E-9</v>
      </c>
      <c r="AB6" t="s">
        <v>1592</v>
      </c>
      <c r="AC6" t="s">
        <v>2226</v>
      </c>
      <c r="AD6" s="73">
        <f>('GREET-AFLEET Data'!B161*'GREET-AFLEET Data'!K144 + 'GREET-AFLEET Data'!K161)/MJ_MMBtu*'Conversion Factors'!E82</f>
        <v>11.29842992755842</v>
      </c>
      <c r="AE6" s="593">
        <f>('GREET-AFLEET Data'!B159*'GREET-AFLEET Data'!K144 + 'GREET-AFLEET Data'!K159)/MJ_MMBtu*'Conversion Factors'!E82</f>
        <v>9.7058687507868141E-2</v>
      </c>
      <c r="AF6" s="593">
        <f>('GREET-AFLEET Data'!B160*'GREET-AFLEET Data'!K144 + 'GREET-AFLEET Data'!K160)/MJ_MMBtu*'Conversion Factors'!E82</f>
        <v>2.0737512838336295E-4</v>
      </c>
      <c r="AH6" t="s">
        <v>2808</v>
      </c>
      <c r="AI6" s="73">
        <f>AD6</f>
        <v>11.29842992755842</v>
      </c>
    </row>
    <row r="7" spans="1:35" x14ac:dyDescent="0.25">
      <c r="A7" t="s">
        <v>2069</v>
      </c>
      <c r="B7" t="s">
        <v>436</v>
      </c>
      <c r="C7" t="s">
        <v>2119</v>
      </c>
      <c r="D7" t="s">
        <v>2035</v>
      </c>
      <c r="E7" t="s">
        <v>95</v>
      </c>
      <c r="F7" t="s">
        <v>4089</v>
      </c>
      <c r="G7">
        <v>2024</v>
      </c>
      <c r="H7" t="s">
        <v>2638</v>
      </c>
      <c r="I7" s="786">
        <f>$U$5+$V$5</f>
        <v>8.9804448444868452</v>
      </c>
      <c r="J7" s="787"/>
      <c r="K7" s="52" t="s">
        <v>2649</v>
      </c>
      <c r="L7" s="377">
        <v>1</v>
      </c>
      <c r="M7" s="377">
        <v>1</v>
      </c>
      <c r="N7" s="377">
        <v>1</v>
      </c>
      <c r="O7" s="377">
        <v>2</v>
      </c>
      <c r="P7" s="377">
        <v>1</v>
      </c>
      <c r="Q7" s="1044"/>
      <c r="S7" s="1044"/>
      <c r="T7" t="s">
        <v>2185</v>
      </c>
      <c r="U7" s="259">
        <v>14.3002629451407</v>
      </c>
      <c r="V7" s="593">
        <v>4.77080750210111E-3</v>
      </c>
      <c r="W7" s="593">
        <v>8.3850555986154799E-5</v>
      </c>
      <c r="X7" s="593">
        <v>2.7145214301579099E-2</v>
      </c>
      <c r="Y7" s="593">
        <v>6.2330550954728693E-5</v>
      </c>
      <c r="Z7" s="593">
        <v>6.82525212327663E-9</v>
      </c>
      <c r="AB7" t="s">
        <v>1690</v>
      </c>
      <c r="AC7" t="s">
        <v>2200</v>
      </c>
      <c r="AD7" s="73">
        <f>('GREET-AFLEET Data'!B161*'GREET-AFLEET Data'!D144 + 'GREET-AFLEET Data'!D161)/MJ_MMBtu*'Conversion Factors'!E74</f>
        <v>14.88538992142754</v>
      </c>
      <c r="AE7" s="593">
        <f>('GREET-AFLEET Data'!B159*'GREET-AFLEET Data'!D144 + 'GREET-AFLEET Data'!D159)/MJ_MMBtu*'Conversion Factors'!E74</f>
        <v>0.10189227883671015</v>
      </c>
      <c r="AF7" s="593">
        <f>('GREET-AFLEET Data'!B160*'GREET-AFLEET Data'!D144 + 'GREET-AFLEET Data'!D160)/MJ_MMBtu*'Conversion Factors'!E74</f>
        <v>2.5938088957352918E-4</v>
      </c>
      <c r="AH7" t="s">
        <v>2806</v>
      </c>
      <c r="AI7" s="73">
        <f>U5+V5</f>
        <v>8.9804448444868452</v>
      </c>
    </row>
    <row r="8" spans="1:35" x14ac:dyDescent="0.25">
      <c r="A8" t="s">
        <v>2070</v>
      </c>
      <c r="B8" t="s">
        <v>436</v>
      </c>
      <c r="C8" t="s">
        <v>2120</v>
      </c>
      <c r="D8" t="s">
        <v>2035</v>
      </c>
      <c r="E8" t="s">
        <v>95</v>
      </c>
      <c r="F8" t="s">
        <v>4089</v>
      </c>
      <c r="G8">
        <v>2024</v>
      </c>
      <c r="H8" t="s">
        <v>2638</v>
      </c>
      <c r="I8" s="786"/>
      <c r="J8" s="787">
        <f>$U$6+$V$6</f>
        <v>17.090028783086094</v>
      </c>
      <c r="K8" s="52" t="s">
        <v>2649</v>
      </c>
      <c r="L8" s="377">
        <v>1</v>
      </c>
      <c r="M8" s="377">
        <v>1</v>
      </c>
      <c r="N8" s="377">
        <v>1</v>
      </c>
      <c r="O8" s="377">
        <v>2</v>
      </c>
      <c r="P8" s="377">
        <v>1</v>
      </c>
      <c r="Q8" s="1044"/>
      <c r="S8" s="1044"/>
      <c r="T8" t="s">
        <v>2186</v>
      </c>
      <c r="U8" s="259">
        <v>15.285200669106398</v>
      </c>
      <c r="V8" s="593">
        <v>5.6029121946491603E-3</v>
      </c>
      <c r="W8" s="593">
        <v>9.8475426320603109E-5</v>
      </c>
      <c r="X8" s="593">
        <v>4.6655659257159199E-2</v>
      </c>
      <c r="Y8" s="593">
        <v>6.807271577029611E-5</v>
      </c>
      <c r="Z8" s="593">
        <v>8.0156846270195991E-9</v>
      </c>
      <c r="AB8" t="s">
        <v>1622</v>
      </c>
      <c r="AC8" t="s">
        <v>2555</v>
      </c>
      <c r="AD8" s="73">
        <f>('GREET-AFLEET Data'!E282+'GREET-AFLEET Data'!E302)/MJ_MMBtu*0.935</f>
        <v>10.159300521098094</v>
      </c>
      <c r="AE8" s="593">
        <f>('GREET-AFLEET Data'!E280+'GREET-AFLEET Data'!E300)/MJ_MMBtu*0.935</f>
        <v>9.3469886560725551E-2</v>
      </c>
      <c r="AF8" s="593">
        <f>('GREET-AFLEET Data'!E281+'GREET-AFLEET Data'!E301)/MJ_MMBtu*0.935</f>
        <v>1.7522743257030327E-4</v>
      </c>
      <c r="AH8" t="s">
        <v>2809</v>
      </c>
      <c r="AI8" s="73">
        <f>AD3</f>
        <v>8.0806132770435202</v>
      </c>
    </row>
    <row r="9" spans="1:35" x14ac:dyDescent="0.25">
      <c r="A9" t="s">
        <v>4084</v>
      </c>
      <c r="B9" t="s">
        <v>2897</v>
      </c>
      <c r="C9" t="s">
        <v>4082</v>
      </c>
      <c r="D9" t="s">
        <v>2035</v>
      </c>
      <c r="E9" t="s">
        <v>95</v>
      </c>
      <c r="F9" t="s">
        <v>4089</v>
      </c>
      <c r="G9">
        <v>2024</v>
      </c>
      <c r="H9" t="s">
        <v>2638</v>
      </c>
      <c r="I9" s="786">
        <f>$U$10+$V$10</f>
        <v>6.1100277824868439</v>
      </c>
      <c r="J9" s="787"/>
      <c r="K9" s="52" t="s">
        <v>2649</v>
      </c>
      <c r="L9" s="377">
        <v>1</v>
      </c>
      <c r="M9" s="377">
        <v>1</v>
      </c>
      <c r="N9" s="377">
        <v>1</v>
      </c>
      <c r="O9" s="377">
        <v>2</v>
      </c>
      <c r="P9" s="377">
        <v>1</v>
      </c>
      <c r="Q9" s="1044"/>
      <c r="S9" s="1044"/>
      <c r="T9" t="s">
        <v>2187</v>
      </c>
      <c r="U9" s="259">
        <v>18.510842838005402</v>
      </c>
      <c r="V9" s="593">
        <v>7.4718381734266599E-3</v>
      </c>
      <c r="W9" s="593">
        <v>1.3132321595907601E-4</v>
      </c>
      <c r="X9" s="593">
        <v>9.6576432576485099E-2</v>
      </c>
      <c r="Y9" s="593">
        <v>1.1584639979148899E-4</v>
      </c>
      <c r="Z9" s="593">
        <v>1.1562753255207301E-8</v>
      </c>
      <c r="AB9" t="s">
        <v>2185</v>
      </c>
      <c r="AC9" t="s">
        <v>2557</v>
      </c>
      <c r="AD9" s="73">
        <f>('GREET-AFLEET Data'!B259*'GREET-AFLEET Data'!C242 + 'GREET-AFLEET Data'!C259)/MJ_MMBtu*'Conversion Factors'!E85</f>
        <v>7.7036343505792768</v>
      </c>
      <c r="AE9" s="593">
        <f>('GREET-AFLEET Data'!B257*'GREET-AFLEET Data'!C242 + 'GREET-AFLEET Data'!C257)/MJ_MMBtu*'Conversion Factors'!E85</f>
        <v>8.8532829149784387E-2</v>
      </c>
      <c r="AF9" s="593">
        <f>('GREET-AFLEET Data'!B258*'GREET-AFLEET Data'!C242 + 'GREET-AFLEET Data'!C258)/MJ_MMBtu*'Conversion Factors'!E85</f>
        <v>1.3631225167993712E-4</v>
      </c>
    </row>
    <row r="10" spans="1:35" x14ac:dyDescent="0.25">
      <c r="A10" t="s">
        <v>2071</v>
      </c>
      <c r="B10" t="s">
        <v>436</v>
      </c>
      <c r="C10" t="s">
        <v>2121</v>
      </c>
      <c r="D10" t="s">
        <v>2035</v>
      </c>
      <c r="E10" t="s">
        <v>95</v>
      </c>
      <c r="F10" t="s">
        <v>2126</v>
      </c>
      <c r="G10">
        <v>2023</v>
      </c>
      <c r="H10" t="s">
        <v>2638</v>
      </c>
      <c r="I10" s="786">
        <f>$AD$12</f>
        <v>9.7975053745496545</v>
      </c>
      <c r="J10" s="787"/>
      <c r="K10" s="52" t="s">
        <v>2651</v>
      </c>
      <c r="L10" s="377">
        <v>1</v>
      </c>
      <c r="M10" s="377">
        <v>1</v>
      </c>
      <c r="N10" s="377">
        <v>1</v>
      </c>
      <c r="O10" s="377">
        <v>3</v>
      </c>
      <c r="P10" s="377">
        <v>1</v>
      </c>
      <c r="Q10" s="1044"/>
      <c r="S10" s="1044"/>
      <c r="T10" t="s">
        <v>250</v>
      </c>
      <c r="U10" s="259">
        <v>6.1055126309246095</v>
      </c>
      <c r="V10" s="593">
        <v>4.5151515622345604E-3</v>
      </c>
      <c r="W10" s="593">
        <v>7.9357209358326701E-5</v>
      </c>
      <c r="X10" s="593">
        <v>0.13580919156364202</v>
      </c>
      <c r="Y10" s="593">
        <v>3.6675916286654401E-4</v>
      </c>
      <c r="Z10" s="593">
        <v>6.3819809382671397E-9</v>
      </c>
      <c r="AB10" t="s">
        <v>233</v>
      </c>
      <c r="AC10" t="s">
        <v>2359</v>
      </c>
      <c r="AD10" s="73">
        <f>('GREET-AFLEET Data'!L185*'GREET-AFLEET Data'!M168 + 'GREET-AFLEET Data'!M185)/MJ_MMBtu*'Conversion Factors'!E96</f>
        <v>9.8590880424478211</v>
      </c>
      <c r="AE10" s="593">
        <f>('GREET-AFLEET Data'!L183*'GREET-AFLEET Data'!M168 + 'GREET-AFLEET Data'!M183)/MJ_MMBtu*'Conversion Factors'!E96</f>
        <v>0.22847942333816376</v>
      </c>
      <c r="AF10" s="593">
        <f>('GREET-AFLEET Data'!L184*'GREET-AFLEET Data'!M168 + 'GREET-AFLEET Data'!M184)/MJ_MMBtu*'Conversion Factors'!E96</f>
        <v>1.4304572733547709E-4</v>
      </c>
    </row>
    <row r="11" spans="1:35" x14ac:dyDescent="0.25">
      <c r="A11" t="s">
        <v>2072</v>
      </c>
      <c r="B11" t="s">
        <v>436</v>
      </c>
      <c r="C11" t="s">
        <v>2122</v>
      </c>
      <c r="D11" t="s">
        <v>2035</v>
      </c>
      <c r="E11" t="s">
        <v>95</v>
      </c>
      <c r="F11" t="s">
        <v>2126</v>
      </c>
      <c r="G11">
        <v>2023</v>
      </c>
      <c r="H11" t="s">
        <v>2638</v>
      </c>
      <c r="I11" s="786">
        <f>$AD$8</f>
        <v>10.159300521098094</v>
      </c>
      <c r="J11" s="787"/>
      <c r="K11" s="52" t="s">
        <v>2652</v>
      </c>
      <c r="L11" s="377">
        <v>1</v>
      </c>
      <c r="M11" s="377">
        <v>1</v>
      </c>
      <c r="N11" s="377">
        <v>1</v>
      </c>
      <c r="O11" s="377">
        <v>3</v>
      </c>
      <c r="P11" s="377">
        <v>1</v>
      </c>
      <c r="Q11" s="1044"/>
      <c r="S11" s="1044"/>
      <c r="T11" t="s">
        <v>232</v>
      </c>
      <c r="U11" s="259">
        <v>22.1353801881286</v>
      </c>
      <c r="V11" s="593">
        <v>6.1430149808847203E-3</v>
      </c>
      <c r="W11" s="593">
        <v>1.07968141741029E-4</v>
      </c>
      <c r="X11" s="593">
        <v>5.7833783495296602E-2</v>
      </c>
      <c r="Y11" s="593">
        <v>1.4921116700361702E-4</v>
      </c>
      <c r="Z11" s="593">
        <v>9.50638448241946E-9</v>
      </c>
      <c r="AB11" t="s">
        <v>232</v>
      </c>
      <c r="AC11" t="s">
        <v>232</v>
      </c>
      <c r="AD11" s="73">
        <v>8.3241124426603808</v>
      </c>
      <c r="AE11" s="593">
        <v>0.12425449226221</v>
      </c>
      <c r="AF11" s="593">
        <v>1.5549843038946889E-4</v>
      </c>
    </row>
    <row r="12" spans="1:35" x14ac:dyDescent="0.25">
      <c r="A12" t="s">
        <v>2073</v>
      </c>
      <c r="B12" t="s">
        <v>436</v>
      </c>
      <c r="C12" t="s">
        <v>2123</v>
      </c>
      <c r="D12" t="s">
        <v>2035</v>
      </c>
      <c r="E12" t="s">
        <v>95</v>
      </c>
      <c r="F12" t="s">
        <v>4089</v>
      </c>
      <c r="G12">
        <v>2024</v>
      </c>
      <c r="H12" t="s">
        <v>2638</v>
      </c>
      <c r="I12" s="786">
        <f>$U$7+$V$7</f>
        <v>14.305033752642801</v>
      </c>
      <c r="J12" s="787"/>
      <c r="K12" s="52" t="s">
        <v>2649</v>
      </c>
      <c r="L12" s="377">
        <v>1</v>
      </c>
      <c r="M12" s="377">
        <v>1</v>
      </c>
      <c r="N12" s="377">
        <v>1</v>
      </c>
      <c r="O12" s="377">
        <v>2</v>
      </c>
      <c r="P12" s="377">
        <v>1</v>
      </c>
      <c r="Q12" s="1044"/>
      <c r="S12" s="1044"/>
      <c r="T12" s="1087" t="s">
        <v>2188</v>
      </c>
      <c r="U12" s="1087"/>
      <c r="V12" s="1087"/>
      <c r="W12" s="1087"/>
      <c r="X12" s="1087"/>
      <c r="Y12" s="1087"/>
      <c r="Z12" s="1087"/>
      <c r="AB12" t="s">
        <v>1623</v>
      </c>
      <c r="AC12" t="s">
        <v>2556</v>
      </c>
      <c r="AD12" s="73">
        <f>('GREET-AFLEET Data'!H282+'GREET-AFLEET Data'!H302)/MJ_MMBtu*0.935</f>
        <v>9.7975053745496545</v>
      </c>
      <c r="AE12" s="593">
        <f>('GREET-AFLEET Data'!H280+'GREET-AFLEET Data'!H300)/MJ_MMBtu*0.935</f>
        <v>9.2320942007051585E-2</v>
      </c>
      <c r="AF12" s="593">
        <f>('GREET-AFLEET Data'!H281+'GREET-AFLEET Data'!H301)/MJ_MMBtu*0.935</f>
        <v>1.6689736096117986E-4</v>
      </c>
    </row>
    <row r="13" spans="1:35" x14ac:dyDescent="0.25">
      <c r="A13" t="s">
        <v>2078</v>
      </c>
      <c r="B13" t="s">
        <v>436</v>
      </c>
      <c r="C13" t="s">
        <v>2124</v>
      </c>
      <c r="D13" t="s">
        <v>2035</v>
      </c>
      <c r="E13" t="s">
        <v>95</v>
      </c>
      <c r="F13" t="s">
        <v>2126</v>
      </c>
      <c r="G13">
        <v>2023</v>
      </c>
      <c r="H13" t="s">
        <v>2638</v>
      </c>
      <c r="I13" s="786">
        <f>AVERAGE($AD$27:$AD$30)</f>
        <v>24.698788231031379</v>
      </c>
      <c r="J13" s="787"/>
      <c r="K13" s="52" t="s">
        <v>4204</v>
      </c>
      <c r="L13" s="377">
        <v>1</v>
      </c>
      <c r="M13" s="377">
        <v>1</v>
      </c>
      <c r="N13" s="377">
        <v>1</v>
      </c>
      <c r="O13" s="377">
        <v>3</v>
      </c>
      <c r="P13" s="377">
        <v>2</v>
      </c>
      <c r="Q13" s="1044"/>
      <c r="S13" s="1044"/>
      <c r="T13" s="1087"/>
      <c r="U13" s="1087"/>
      <c r="V13" s="1087"/>
      <c r="W13" s="1087"/>
      <c r="X13" s="1087"/>
      <c r="Y13" s="1087"/>
      <c r="Z13" s="1087"/>
      <c r="AB13" t="s">
        <v>2203</v>
      </c>
      <c r="AC13" t="s">
        <v>2204</v>
      </c>
      <c r="AD13" s="73">
        <v>5.2515964506978401</v>
      </c>
      <c r="AE13" s="593">
        <v>0.18517637477361901</v>
      </c>
      <c r="AF13" s="593">
        <v>1.2150619986363699E-3</v>
      </c>
    </row>
    <row r="14" spans="1:35" x14ac:dyDescent="0.25">
      <c r="A14" t="s">
        <v>2084</v>
      </c>
      <c r="B14" t="s">
        <v>2115</v>
      </c>
      <c r="C14" t="s">
        <v>2029</v>
      </c>
      <c r="D14" t="s">
        <v>2035</v>
      </c>
      <c r="E14" t="s">
        <v>95</v>
      </c>
      <c r="F14" t="s">
        <v>4089</v>
      </c>
      <c r="G14">
        <v>2024</v>
      </c>
      <c r="H14" t="s">
        <v>2638</v>
      </c>
      <c r="I14" s="786">
        <f>($U$21+$V$21)-I3</f>
        <v>69.930639404915425</v>
      </c>
      <c r="J14" s="787"/>
      <c r="K14" s="52" t="s">
        <v>2648</v>
      </c>
      <c r="L14" s="377">
        <v>1</v>
      </c>
      <c r="M14" s="377">
        <v>1</v>
      </c>
      <c r="N14" s="377">
        <v>1</v>
      </c>
      <c r="O14" s="377">
        <v>2</v>
      </c>
      <c r="P14" s="377">
        <v>1</v>
      </c>
      <c r="Q14" s="1044"/>
      <c r="S14" s="1044"/>
      <c r="T14" s="1087"/>
      <c r="U14" s="1087"/>
      <c r="V14" s="1087"/>
      <c r="W14" s="1087"/>
      <c r="X14" s="1087"/>
      <c r="Y14" s="1087"/>
      <c r="Z14" s="1087"/>
      <c r="AB14" t="s">
        <v>2206</v>
      </c>
      <c r="AC14" t="s">
        <v>2207</v>
      </c>
      <c r="AD14" s="73">
        <v>8.7215987560800698</v>
      </c>
      <c r="AE14" s="593">
        <v>8.9346843865184905E-2</v>
      </c>
      <c r="AF14" s="593">
        <v>1.44943223337418E-4</v>
      </c>
    </row>
    <row r="15" spans="1:35" x14ac:dyDescent="0.25">
      <c r="A15" t="s">
        <v>2085</v>
      </c>
      <c r="B15" t="s">
        <v>2116</v>
      </c>
      <c r="C15" t="s">
        <v>2083</v>
      </c>
      <c r="D15" t="s">
        <v>2035</v>
      </c>
      <c r="E15" t="s">
        <v>95</v>
      </c>
      <c r="F15" t="s">
        <v>2126</v>
      </c>
      <c r="G15">
        <v>2023</v>
      </c>
      <c r="H15" t="s">
        <v>2638</v>
      </c>
      <c r="I15" s="786">
        <f>0.5*($AD$41+$AG$25)+0.5*($AD$54+$AG$26)</f>
        <v>0</v>
      </c>
      <c r="J15" s="787"/>
      <c r="K15" s="52" t="s">
        <v>4235</v>
      </c>
      <c r="L15" s="377">
        <v>1</v>
      </c>
      <c r="M15" s="377">
        <v>1</v>
      </c>
      <c r="N15" s="377">
        <v>1</v>
      </c>
      <c r="O15" s="377">
        <v>3</v>
      </c>
      <c r="P15" s="377">
        <v>1</v>
      </c>
      <c r="Q15" s="1044"/>
      <c r="S15" s="1044"/>
      <c r="T15" s="1087"/>
      <c r="U15" s="1087"/>
      <c r="V15" s="1087"/>
      <c r="W15" s="1087"/>
      <c r="X15" s="1087"/>
      <c r="Y15" s="1087"/>
      <c r="Z15" s="1087"/>
      <c r="AB15" t="s">
        <v>2214</v>
      </c>
      <c r="AC15" t="s">
        <v>2215</v>
      </c>
      <c r="AD15" s="73">
        <v>2.0690141165057701</v>
      </c>
      <c r="AE15" s="593">
        <v>3.1565470730824299E-3</v>
      </c>
      <c r="AF15" s="593">
        <v>2.0050463735924499E-3</v>
      </c>
    </row>
    <row r="16" spans="1:35" ht="14.45" customHeight="1" x14ac:dyDescent="0.25">
      <c r="A16" t="s">
        <v>2086</v>
      </c>
      <c r="B16" t="s">
        <v>2117</v>
      </c>
      <c r="C16" t="s">
        <v>2027</v>
      </c>
      <c r="D16" t="s">
        <v>2035</v>
      </c>
      <c r="E16" t="s">
        <v>95</v>
      </c>
      <c r="F16" t="s">
        <v>4089</v>
      </c>
      <c r="G16">
        <v>2024</v>
      </c>
      <c r="H16" t="s">
        <v>2638</v>
      </c>
      <c r="I16" s="786">
        <f>($U$20+$V$20)-I5</f>
        <v>69.050429605047725</v>
      </c>
      <c r="J16" s="787"/>
      <c r="K16" s="52" t="s">
        <v>2648</v>
      </c>
      <c r="L16" s="377">
        <v>1</v>
      </c>
      <c r="M16" s="377">
        <v>1</v>
      </c>
      <c r="N16" s="377">
        <v>1</v>
      </c>
      <c r="O16" s="377">
        <v>2</v>
      </c>
      <c r="P16" s="377">
        <v>1</v>
      </c>
      <c r="Q16" s="1044"/>
      <c r="S16" s="1044"/>
      <c r="T16" s="1087"/>
      <c r="U16" s="1087"/>
      <c r="V16" s="1087"/>
      <c r="W16" s="1087"/>
      <c r="X16" s="1087"/>
      <c r="Y16" s="1087"/>
      <c r="Z16" s="1087"/>
      <c r="AB16" s="1087" t="s">
        <v>2552</v>
      </c>
      <c r="AC16" s="1087"/>
      <c r="AD16" s="1087"/>
      <c r="AE16" s="1087"/>
      <c r="AF16" s="1087"/>
    </row>
    <row r="17" spans="1:38" x14ac:dyDescent="0.25">
      <c r="A17" t="s">
        <v>2087</v>
      </c>
      <c r="B17" t="s">
        <v>2118</v>
      </c>
      <c r="C17" t="s">
        <v>2028</v>
      </c>
      <c r="D17" t="s">
        <v>2035</v>
      </c>
      <c r="E17" t="s">
        <v>95</v>
      </c>
      <c r="F17" t="s">
        <v>2126</v>
      </c>
      <c r="G17">
        <v>2023</v>
      </c>
      <c r="H17" t="s">
        <v>2638</v>
      </c>
      <c r="I17" s="786">
        <v>0</v>
      </c>
      <c r="J17" s="787"/>
      <c r="K17" s="52" t="s">
        <v>4236</v>
      </c>
      <c r="L17" s="377">
        <v>1</v>
      </c>
      <c r="M17" s="377">
        <v>1</v>
      </c>
      <c r="N17" s="377">
        <v>1</v>
      </c>
      <c r="O17" s="377">
        <v>3</v>
      </c>
      <c r="P17" s="377">
        <v>1</v>
      </c>
      <c r="Q17" s="1044"/>
      <c r="S17" s="1044"/>
      <c r="T17" s="350"/>
      <c r="U17" s="350"/>
      <c r="V17" s="350"/>
      <c r="W17" s="350"/>
      <c r="X17" s="350"/>
      <c r="Y17" s="350"/>
      <c r="Z17" s="350"/>
      <c r="AB17" s="1087"/>
      <c r="AC17" s="1087"/>
      <c r="AD17" s="1087"/>
      <c r="AE17" s="1087"/>
      <c r="AF17" s="1087"/>
    </row>
    <row r="18" spans="1:38" ht="15.75" x14ac:dyDescent="0.25">
      <c r="A18" t="s">
        <v>2088</v>
      </c>
      <c r="B18" t="s">
        <v>2119</v>
      </c>
      <c r="C18" t="s">
        <v>2055</v>
      </c>
      <c r="D18" t="s">
        <v>2035</v>
      </c>
      <c r="E18" t="s">
        <v>95</v>
      </c>
      <c r="F18" t="s">
        <v>4089</v>
      </c>
      <c r="G18">
        <v>2024</v>
      </c>
      <c r="H18" t="s">
        <v>2638</v>
      </c>
      <c r="I18" s="786">
        <f>($U$22+$V$22)-I7</f>
        <v>49.494584999999887</v>
      </c>
      <c r="J18" s="787"/>
      <c r="K18" s="52" t="s">
        <v>2648</v>
      </c>
      <c r="L18" s="377">
        <v>1</v>
      </c>
      <c r="M18" s="377">
        <v>1</v>
      </c>
      <c r="N18" s="377">
        <v>1</v>
      </c>
      <c r="O18" s="377">
        <v>2</v>
      </c>
      <c r="P18" s="377">
        <v>1</v>
      </c>
      <c r="Q18" s="1044"/>
      <c r="S18" s="1044"/>
      <c r="T18" s="212" t="s">
        <v>4088</v>
      </c>
      <c r="AB18" s="1087"/>
      <c r="AC18" s="1087"/>
      <c r="AD18" s="1087"/>
      <c r="AE18" s="1087"/>
      <c r="AF18" s="1087"/>
      <c r="AH18" s="593"/>
    </row>
    <row r="19" spans="1:38" ht="15.75" thickBot="1" x14ac:dyDescent="0.3">
      <c r="A19" t="s">
        <v>2089</v>
      </c>
      <c r="B19" t="s">
        <v>2120</v>
      </c>
      <c r="C19" t="s">
        <v>2060</v>
      </c>
      <c r="D19" t="s">
        <v>2035</v>
      </c>
      <c r="E19" t="s">
        <v>95</v>
      </c>
      <c r="F19" t="s">
        <v>4089</v>
      </c>
      <c r="G19">
        <v>2024</v>
      </c>
      <c r="H19" t="s">
        <v>2638</v>
      </c>
      <c r="I19" s="786"/>
      <c r="J19" s="787">
        <f>($U$23+$V$23)-J8</f>
        <v>49.643510000000006</v>
      </c>
      <c r="K19" s="52" t="s">
        <v>2648</v>
      </c>
      <c r="L19" s="377">
        <v>1</v>
      </c>
      <c r="M19" s="377">
        <v>1</v>
      </c>
      <c r="N19" s="377">
        <v>1</v>
      </c>
      <c r="O19" s="377">
        <v>2</v>
      </c>
      <c r="P19" s="377">
        <v>1</v>
      </c>
      <c r="Q19" s="1044"/>
      <c r="S19" s="1044"/>
      <c r="T19" s="88" t="s">
        <v>2184</v>
      </c>
      <c r="U19" s="88" t="s">
        <v>2180</v>
      </c>
      <c r="V19" s="88" t="s">
        <v>2181</v>
      </c>
      <c r="W19" s="88" t="s">
        <v>2182</v>
      </c>
      <c r="X19" s="88" t="s">
        <v>2183</v>
      </c>
      <c r="Y19" s="88" t="s">
        <v>10</v>
      </c>
      <c r="Z19" s="88" t="s">
        <v>2179</v>
      </c>
      <c r="AB19" s="1087"/>
      <c r="AC19" s="1087"/>
      <c r="AD19" s="1087"/>
      <c r="AE19" s="1087"/>
      <c r="AF19" s="1087"/>
      <c r="AH19" s="593"/>
    </row>
    <row r="20" spans="1:38" ht="15.75" thickTop="1" x14ac:dyDescent="0.25">
      <c r="A20" t="s">
        <v>4085</v>
      </c>
      <c r="B20" t="s">
        <v>4082</v>
      </c>
      <c r="C20" t="s">
        <v>4083</v>
      </c>
      <c r="D20" t="s">
        <v>2035</v>
      </c>
      <c r="E20" t="s">
        <v>95</v>
      </c>
      <c r="F20" t="s">
        <v>4089</v>
      </c>
      <c r="G20">
        <v>2024</v>
      </c>
      <c r="H20" t="s">
        <v>2638</v>
      </c>
      <c r="I20" s="786">
        <f>($U$27+$V$27)-I9</f>
        <v>49.643509999999893</v>
      </c>
      <c r="J20" s="787"/>
      <c r="K20" s="52" t="s">
        <v>2889</v>
      </c>
      <c r="L20" s="377">
        <v>1</v>
      </c>
      <c r="M20" s="377">
        <v>1</v>
      </c>
      <c r="N20" s="377">
        <v>1</v>
      </c>
      <c r="O20" s="377">
        <v>2</v>
      </c>
      <c r="P20" s="377">
        <v>1</v>
      </c>
      <c r="Q20" s="1044"/>
      <c r="S20" s="1044"/>
      <c r="T20" t="s">
        <v>108</v>
      </c>
      <c r="U20" s="259">
        <v>89.278059753003404</v>
      </c>
      <c r="V20" s="593">
        <v>5.9402722772798197E-3</v>
      </c>
      <c r="W20" s="593">
        <v>1.04404785340781E-4</v>
      </c>
      <c r="X20" s="593">
        <v>7.6040016950176204E-2</v>
      </c>
      <c r="Y20" s="593">
        <v>3.6228352156040902E-3</v>
      </c>
      <c r="Z20" s="593">
        <v>8.4983215012321196E-9</v>
      </c>
      <c r="AB20" s="1087"/>
      <c r="AC20" s="1087"/>
      <c r="AD20" s="1087"/>
      <c r="AE20" s="1087"/>
      <c r="AF20" s="1087"/>
      <c r="AK20" s="593"/>
    </row>
    <row r="21" spans="1:38" x14ac:dyDescent="0.25">
      <c r="A21" t="s">
        <v>2090</v>
      </c>
      <c r="B21" t="s">
        <v>2121</v>
      </c>
      <c r="C21" t="s">
        <v>2058</v>
      </c>
      <c r="D21" t="s">
        <v>2035</v>
      </c>
      <c r="E21" t="s">
        <v>95</v>
      </c>
      <c r="F21" t="s">
        <v>2126</v>
      </c>
      <c r="G21">
        <v>2023</v>
      </c>
      <c r="H21" t="s">
        <v>2638</v>
      </c>
      <c r="I21" s="786">
        <f>$AD$52</f>
        <v>72.116455655279083</v>
      </c>
      <c r="J21" s="787"/>
      <c r="K21" s="52" t="s">
        <v>2654</v>
      </c>
      <c r="L21" s="377">
        <v>1</v>
      </c>
      <c r="M21" s="377">
        <v>1</v>
      </c>
      <c r="N21" s="377">
        <v>1</v>
      </c>
      <c r="O21" s="377">
        <v>3</v>
      </c>
      <c r="P21" s="377">
        <v>1</v>
      </c>
      <c r="Q21" s="1044"/>
      <c r="S21" s="1044"/>
      <c r="T21" t="s">
        <v>107</v>
      </c>
      <c r="U21" s="259">
        <v>88.233217173937703</v>
      </c>
      <c r="V21" s="593">
        <v>5.8461122711325701E-3</v>
      </c>
      <c r="W21" s="593">
        <v>1.02749851901603E-4</v>
      </c>
      <c r="X21" s="593">
        <v>6.7534946836425302E-2</v>
      </c>
      <c r="Y21" s="593">
        <v>5.3122440784783599E-3</v>
      </c>
      <c r="Z21" s="593">
        <v>8.3636135337441801E-9</v>
      </c>
    </row>
    <row r="22" spans="1:38" ht="15.75" x14ac:dyDescent="0.25">
      <c r="A22" t="s">
        <v>2091</v>
      </c>
      <c r="B22" t="s">
        <v>2122</v>
      </c>
      <c r="C22" t="s">
        <v>2059</v>
      </c>
      <c r="D22" t="s">
        <v>2035</v>
      </c>
      <c r="E22" t="s">
        <v>95</v>
      </c>
      <c r="F22" t="s">
        <v>2126</v>
      </c>
      <c r="G22">
        <v>2023</v>
      </c>
      <c r="H22" t="s">
        <v>2638</v>
      </c>
      <c r="I22" s="786">
        <f>$AD$48</f>
        <v>75.034540596790293</v>
      </c>
      <c r="J22" s="787"/>
      <c r="K22" s="52" t="s">
        <v>2655</v>
      </c>
      <c r="L22" s="377">
        <v>1</v>
      </c>
      <c r="M22" s="377">
        <v>1</v>
      </c>
      <c r="N22" s="377">
        <v>1</v>
      </c>
      <c r="O22" s="377">
        <v>3</v>
      </c>
      <c r="P22" s="377">
        <v>1</v>
      </c>
      <c r="Q22" s="1044"/>
      <c r="S22" s="1044"/>
      <c r="T22" t="s">
        <v>241</v>
      </c>
      <c r="U22" s="259">
        <v>58.470514692924496</v>
      </c>
      <c r="V22" s="593">
        <v>4.5151515622345604E-3</v>
      </c>
      <c r="W22" s="593">
        <v>7.9357209358326701E-5</v>
      </c>
      <c r="X22" s="593">
        <v>0.38133776056364199</v>
      </c>
      <c r="Y22" s="593">
        <v>2.01505726286654E-3</v>
      </c>
      <c r="Z22" s="593">
        <v>6.3819809382671397E-9</v>
      </c>
      <c r="AB22" s="159" t="s">
        <v>2565</v>
      </c>
    </row>
    <row r="23" spans="1:38" ht="15.75" thickBot="1" x14ac:dyDescent="0.3">
      <c r="A23" t="s">
        <v>2092</v>
      </c>
      <c r="B23" t="s">
        <v>2123</v>
      </c>
      <c r="C23" t="s">
        <v>2030</v>
      </c>
      <c r="D23" t="s">
        <v>2035</v>
      </c>
      <c r="E23" t="s">
        <v>95</v>
      </c>
      <c r="F23" t="s">
        <v>4089</v>
      </c>
      <c r="G23">
        <v>2024</v>
      </c>
      <c r="H23" t="s">
        <v>2638</v>
      </c>
      <c r="I23" s="786">
        <f>($U$24+$V$24)-I12</f>
        <v>68.589107723784537</v>
      </c>
      <c r="J23" s="787"/>
      <c r="K23" s="52" t="s">
        <v>2648</v>
      </c>
      <c r="L23" s="377">
        <v>1</v>
      </c>
      <c r="M23" s="377">
        <v>1</v>
      </c>
      <c r="N23" s="377">
        <v>1</v>
      </c>
      <c r="O23" s="377">
        <v>2</v>
      </c>
      <c r="P23" s="377">
        <v>1</v>
      </c>
      <c r="Q23" s="1044"/>
      <c r="S23" s="1044"/>
      <c r="T23" t="s">
        <v>233</v>
      </c>
      <c r="U23" s="259">
        <v>66.72902363145721</v>
      </c>
      <c r="V23" s="593">
        <v>4.5151516288922796E-3</v>
      </c>
      <c r="W23" s="593">
        <v>7.9357210529886689E-5</v>
      </c>
      <c r="X23" s="593">
        <v>0.14113234012138501</v>
      </c>
      <c r="Y23" s="593">
        <v>1.3394771826414002E-3</v>
      </c>
      <c r="Z23" s="593">
        <v>6.3819810324850803E-9</v>
      </c>
      <c r="AB23" s="88" t="s">
        <v>2610</v>
      </c>
      <c r="AC23" s="88" t="s">
        <v>2190</v>
      </c>
      <c r="AD23" s="88" t="s">
        <v>8</v>
      </c>
      <c r="AE23" s="88" t="s">
        <v>14</v>
      </c>
      <c r="AF23" s="88" t="s">
        <v>10</v>
      </c>
      <c r="AG23" s="88" t="s">
        <v>2564</v>
      </c>
    </row>
    <row r="24" spans="1:38" ht="15.75" thickTop="1" x14ac:dyDescent="0.25">
      <c r="A24" t="s">
        <v>2093</v>
      </c>
      <c r="B24" t="s">
        <v>2124</v>
      </c>
      <c r="C24" t="s">
        <v>2031</v>
      </c>
      <c r="D24" t="s">
        <v>2035</v>
      </c>
      <c r="E24" t="s">
        <v>95</v>
      </c>
      <c r="F24" t="s">
        <v>2126</v>
      </c>
      <c r="G24">
        <v>2023</v>
      </c>
      <c r="H24" t="s">
        <v>2638</v>
      </c>
      <c r="I24" s="786">
        <v>0</v>
      </c>
      <c r="J24" s="787"/>
      <c r="K24" s="52" t="s">
        <v>4237</v>
      </c>
      <c r="L24" s="377">
        <v>1</v>
      </c>
      <c r="M24" s="377">
        <v>1</v>
      </c>
      <c r="N24" s="377">
        <v>1</v>
      </c>
      <c r="O24" s="377">
        <v>3</v>
      </c>
      <c r="P24" s="377">
        <v>2</v>
      </c>
      <c r="Q24" s="1044"/>
      <c r="S24" s="1044"/>
      <c r="T24" t="s">
        <v>2185</v>
      </c>
      <c r="U24" s="259">
        <v>82.889356959100596</v>
      </c>
      <c r="V24" s="593">
        <v>4.7845173267460602E-3</v>
      </c>
      <c r="W24" s="593">
        <v>8.409151654020051E-5</v>
      </c>
      <c r="X24" s="593">
        <v>2.7966709935075801E-2</v>
      </c>
      <c r="Y24" s="593">
        <v>1.9690445272155001E-3</v>
      </c>
      <c r="Z24" s="593">
        <v>6.8448657861055094E-9</v>
      </c>
      <c r="AB24" t="s">
        <v>2198</v>
      </c>
      <c r="AC24" t="s">
        <v>2199</v>
      </c>
      <c r="AD24" s="80">
        <f>('GREET-AFLEET Data'!H209*'GREET-AFLEET Data'!I192 + 'GREET-AFLEET Data'!I209)/MJ_MMBtu*'Conversion Factors'!E91</f>
        <v>37.55910241364078</v>
      </c>
      <c r="AE24" s="593">
        <f>('GREET-AFLEET Data'!H207*'GREET-AFLEET Data'!I192 + 'GREET-AFLEET Data'!I207)/MJ_MMBtu*'Conversion Factors'!E91</f>
        <v>8.1933928206568904E-2</v>
      </c>
      <c r="AF24" s="593">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2067</v>
      </c>
      <c r="B25" t="s">
        <v>436</v>
      </c>
      <c r="C25" t="s">
        <v>2115</v>
      </c>
      <c r="D25" t="s">
        <v>2037</v>
      </c>
      <c r="E25" t="s">
        <v>95</v>
      </c>
      <c r="F25" t="s">
        <v>4089</v>
      </c>
      <c r="G25">
        <v>2024</v>
      </c>
      <c r="H25" t="s">
        <v>2646</v>
      </c>
      <c r="I25" s="786">
        <f>$W$4+$X$4</f>
        <v>6.487323665199933E-2</v>
      </c>
      <c r="J25" s="787"/>
      <c r="K25" s="52" t="s">
        <v>2650</v>
      </c>
      <c r="L25" s="377">
        <v>1</v>
      </c>
      <c r="M25" s="377">
        <v>1</v>
      </c>
      <c r="N25" s="377">
        <v>1</v>
      </c>
      <c r="O25" s="377">
        <v>2</v>
      </c>
      <c r="P25" s="377">
        <v>1</v>
      </c>
      <c r="Q25" s="1044"/>
      <c r="S25" s="1044"/>
      <c r="T25" t="s">
        <v>2186</v>
      </c>
      <c r="U25" s="259">
        <v>89.759943688498694</v>
      </c>
      <c r="V25" s="593">
        <v>5.6145723715773704E-3</v>
      </c>
      <c r="W25" s="593">
        <v>9.8680362763311602E-5</v>
      </c>
      <c r="X25" s="593">
        <v>5.0126491936288306E-2</v>
      </c>
      <c r="Y25" s="593">
        <v>1.7217820827724901E-3</v>
      </c>
      <c r="Z25" s="593">
        <v>8.0323660058641708E-9</v>
      </c>
      <c r="AB25" t="s">
        <v>2191</v>
      </c>
      <c r="AC25" t="s">
        <v>2192</v>
      </c>
      <c r="AD25" s="80">
        <f>('GREET-AFLEET Data'!M235*'GREET-AFLEET Data'!N217 + 'GREET-AFLEET Data'!N235)/MJ_MMBtu*'Conversion Factors'!E99</f>
        <v>18.194530754216391</v>
      </c>
      <c r="AE25" s="593">
        <f>('GREET-AFLEET Data'!M233*'GREET-AFLEET Data'!N217 + 'GREET-AFLEET Data'!N233)/MJ_MMBtu*'Conversion Factors'!E99</f>
        <v>2.949888308009499E-2</v>
      </c>
      <c r="AF25" s="593">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2082</v>
      </c>
      <c r="B26" t="s">
        <v>436</v>
      </c>
      <c r="C26" t="s">
        <v>2116</v>
      </c>
      <c r="D26" t="s">
        <v>2037</v>
      </c>
      <c r="E26" t="s">
        <v>95</v>
      </c>
      <c r="F26" t="s">
        <v>2126</v>
      </c>
      <c r="G26">
        <v>2023</v>
      </c>
      <c r="H26" t="s">
        <v>2646</v>
      </c>
      <c r="I26" s="786">
        <f>0.5*($AE$25)+0.5*($AE$26)</f>
        <v>3.6544056590097067E-2</v>
      </c>
      <c r="J26" s="787"/>
      <c r="K26" s="52" t="s">
        <v>2657</v>
      </c>
      <c r="L26" s="377">
        <v>1</v>
      </c>
      <c r="M26" s="377">
        <v>1</v>
      </c>
      <c r="N26" s="377">
        <v>1</v>
      </c>
      <c r="O26" s="377">
        <v>3</v>
      </c>
      <c r="P26" s="377">
        <v>1</v>
      </c>
      <c r="Q26" s="1044"/>
      <c r="S26" s="1044"/>
      <c r="T26" t="s">
        <v>2187</v>
      </c>
      <c r="U26" s="259">
        <v>89.577582346721599</v>
      </c>
      <c r="V26" s="593">
        <v>7.4804777803026004E-3</v>
      </c>
      <c r="W26" s="593">
        <v>1.3147506359458902E-4</v>
      </c>
      <c r="X26" s="593">
        <v>9.7479034615544496E-2</v>
      </c>
      <c r="Y26" s="593">
        <v>4.40474243362747E-4</v>
      </c>
      <c r="Z26" s="593">
        <v>1.15761231436083E-8</v>
      </c>
      <c r="AB26" t="s">
        <v>2216</v>
      </c>
      <c r="AC26" t="s">
        <v>2218</v>
      </c>
      <c r="AD26" s="80">
        <f>('GREET-AFLEET Data'!BC235*'GREET-AFLEET Data'!BD217 + 'GREET-AFLEET Data'!BD235)/MJ_MMBtu*'Conversion Factors'!E102</f>
        <v>15.060642192377999</v>
      </c>
      <c r="AE26" s="593">
        <f>('GREET-AFLEET Data'!BC233*'GREET-AFLEET Data'!BD217 + 'GREET-AFLEET Data'!BD233)/MJ_MMBtu*'Conversion Factors'!E102</f>
        <v>4.3589230100099144E-2</v>
      </c>
      <c r="AF26" s="593">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2068</v>
      </c>
      <c r="B27" t="s">
        <v>436</v>
      </c>
      <c r="C27" t="s">
        <v>2117</v>
      </c>
      <c r="D27" t="s">
        <v>2037</v>
      </c>
      <c r="E27" t="s">
        <v>95</v>
      </c>
      <c r="F27" t="s">
        <v>4089</v>
      </c>
      <c r="G27">
        <v>2024</v>
      </c>
      <c r="H27" t="s">
        <v>2646</v>
      </c>
      <c r="I27" s="786">
        <f>$W$3+$X$3</f>
        <v>6.0737038220186411E-2</v>
      </c>
      <c r="J27" s="787"/>
      <c r="K27" s="52" t="s">
        <v>2649</v>
      </c>
      <c r="L27" s="377">
        <v>1</v>
      </c>
      <c r="M27" s="377">
        <v>1</v>
      </c>
      <c r="N27" s="377">
        <v>1</v>
      </c>
      <c r="O27" s="377">
        <v>2</v>
      </c>
      <c r="P27" s="377">
        <v>1</v>
      </c>
      <c r="Q27" s="1044"/>
      <c r="S27" s="1044"/>
      <c r="T27" t="s">
        <v>250</v>
      </c>
      <c r="U27" s="259">
        <v>55.7490226309245</v>
      </c>
      <c r="V27" s="593">
        <v>4.5151515622345604E-3</v>
      </c>
      <c r="W27" s="593">
        <v>7.9357209358326701E-5</v>
      </c>
      <c r="X27" s="593">
        <v>0.14113213156364202</v>
      </c>
      <c r="Y27" s="593">
        <v>1.3394771628665399E-3</v>
      </c>
      <c r="Z27" s="593">
        <v>6.3819809382671397E-9</v>
      </c>
      <c r="AB27" t="s">
        <v>2208</v>
      </c>
      <c r="AC27" t="s">
        <v>2210</v>
      </c>
      <c r="AD27" s="80">
        <v>46.759750115835097</v>
      </c>
      <c r="AE27" s="593">
        <v>0.110884295288254</v>
      </c>
      <c r="AF27" s="593">
        <v>3.4251758843619501E-2</v>
      </c>
      <c r="AG27" s="73">
        <f>-'Conversion Factors'!$C$108/'Conversion Factors'!$B$108 * 'Conversion Factors'!$D$108/'Conversion Factors'!$H$68 * 1000000/MJ_MMBtu</f>
        <v>-65.845769837756151</v>
      </c>
    </row>
    <row r="28" spans="1:38" x14ac:dyDescent="0.25">
      <c r="A28" t="s">
        <v>2077</v>
      </c>
      <c r="B28" t="s">
        <v>436</v>
      </c>
      <c r="C28" t="s">
        <v>2118</v>
      </c>
      <c r="D28" t="s">
        <v>2037</v>
      </c>
      <c r="E28" t="s">
        <v>95</v>
      </c>
      <c r="F28" t="s">
        <v>2126</v>
      </c>
      <c r="G28">
        <v>2023</v>
      </c>
      <c r="H28" t="s">
        <v>2646</v>
      </c>
      <c r="I28" s="786">
        <f>$AE$24</f>
        <v>8.1933928206568904E-2</v>
      </c>
      <c r="J28" s="787"/>
      <c r="K28" s="52" t="s">
        <v>2658</v>
      </c>
      <c r="L28" s="377">
        <v>1</v>
      </c>
      <c r="M28" s="377">
        <v>1</v>
      </c>
      <c r="N28" s="377">
        <v>1</v>
      </c>
      <c r="O28" s="377">
        <v>3</v>
      </c>
      <c r="P28" s="377">
        <v>1</v>
      </c>
      <c r="Q28" s="1044"/>
      <c r="S28" s="1044"/>
      <c r="T28" t="s">
        <v>232</v>
      </c>
      <c r="U28" s="259">
        <v>82.778045458128702</v>
      </c>
      <c r="V28" s="593">
        <v>6.1430149808847203E-3</v>
      </c>
      <c r="W28" s="593">
        <v>1.07968141741029E-4</v>
      </c>
      <c r="X28" s="593">
        <v>5.8735499495296599E-2</v>
      </c>
      <c r="Y28" s="593">
        <v>4.1814891670036098E-3</v>
      </c>
      <c r="Z28" s="593">
        <v>9.50638448241946E-9</v>
      </c>
      <c r="AB28" t="s">
        <v>2208</v>
      </c>
      <c r="AC28" t="s">
        <v>2211</v>
      </c>
      <c r="AD28" s="80">
        <v>12.970993136714</v>
      </c>
      <c r="AE28" s="593">
        <v>3.4786165696346703E-2</v>
      </c>
      <c r="AF28" s="593">
        <v>-2.0177982165588602E-3</v>
      </c>
      <c r="AG28" s="73">
        <f>-'Conversion Factors'!$C$108/'Conversion Factors'!$B$108 * 'Conversion Factors'!$D$108/'Conversion Factors'!$H$68 * 1000000/MJ_MMBtu</f>
        <v>-65.845769837756151</v>
      </c>
    </row>
    <row r="29" spans="1:38" ht="14.45" customHeight="1" x14ac:dyDescent="0.25">
      <c r="A29" t="s">
        <v>2069</v>
      </c>
      <c r="B29" t="s">
        <v>436</v>
      </c>
      <c r="C29" t="s">
        <v>2119</v>
      </c>
      <c r="D29" t="s">
        <v>2037</v>
      </c>
      <c r="E29" t="s">
        <v>95</v>
      </c>
      <c r="F29" t="s">
        <v>4089</v>
      </c>
      <c r="G29">
        <v>2024</v>
      </c>
      <c r="H29" t="s">
        <v>2646</v>
      </c>
      <c r="I29" s="786">
        <f>$W$5+$X$5</f>
        <v>0.14696911777300034</v>
      </c>
      <c r="J29" s="787"/>
      <c r="K29" s="52" t="s">
        <v>2649</v>
      </c>
      <c r="L29" s="377">
        <v>1</v>
      </c>
      <c r="M29" s="377">
        <v>1</v>
      </c>
      <c r="N29" s="377">
        <v>1</v>
      </c>
      <c r="O29" s="377">
        <v>2</v>
      </c>
      <c r="P29" s="377">
        <v>1</v>
      </c>
      <c r="Q29" s="1044"/>
      <c r="S29" s="1044"/>
      <c r="T29" s="1087" t="s">
        <v>4303</v>
      </c>
      <c r="U29" s="1087"/>
      <c r="V29" s="1087"/>
      <c r="W29" s="1087"/>
      <c r="X29" s="1087"/>
      <c r="Y29" s="1087"/>
      <c r="Z29" s="1087"/>
      <c r="AB29" t="s">
        <v>2208</v>
      </c>
      <c r="AC29" t="s">
        <v>2213</v>
      </c>
      <c r="AD29" s="80">
        <v>24.074907395565798</v>
      </c>
      <c r="AE29" s="593">
        <v>6.3084477916026893E-2</v>
      </c>
      <c r="AF29" s="593">
        <v>1.9961584122489801E-2</v>
      </c>
      <c r="AG29" s="73">
        <f>-'Conversion Factors'!$C$108/'Conversion Factors'!$B$108 * 'Conversion Factors'!$D$108/'Conversion Factors'!$H$68 * 1000000/MJ_MMBtu</f>
        <v>-65.845769837756151</v>
      </c>
    </row>
    <row r="30" spans="1:38" x14ac:dyDescent="0.25">
      <c r="A30" t="s">
        <v>2070</v>
      </c>
      <c r="B30" t="s">
        <v>436</v>
      </c>
      <c r="C30" t="s">
        <v>2120</v>
      </c>
      <c r="D30" t="s">
        <v>2037</v>
      </c>
      <c r="E30" t="s">
        <v>95</v>
      </c>
      <c r="F30" t="s">
        <v>4089</v>
      </c>
      <c r="G30">
        <v>2024</v>
      </c>
      <c r="H30" t="s">
        <v>2646</v>
      </c>
      <c r="I30" s="786"/>
      <c r="J30" s="787">
        <f>$W$6+$X$6</f>
        <v>0.13588875733191488</v>
      </c>
      <c r="K30" s="52" t="s">
        <v>2649</v>
      </c>
      <c r="L30" s="377">
        <v>1</v>
      </c>
      <c r="M30" s="377">
        <v>1</v>
      </c>
      <c r="N30" s="377">
        <v>1</v>
      </c>
      <c r="O30" s="377">
        <v>2</v>
      </c>
      <c r="P30" s="377">
        <v>1</v>
      </c>
      <c r="Q30" s="1044"/>
      <c r="S30" s="1044"/>
      <c r="T30" s="1087"/>
      <c r="U30" s="1087"/>
      <c r="V30" s="1087"/>
      <c r="W30" s="1087"/>
      <c r="X30" s="1087"/>
      <c r="Y30" s="1087"/>
      <c r="Z30" s="1087"/>
      <c r="AB30" t="s">
        <v>2208</v>
      </c>
      <c r="AC30" t="s">
        <v>2526</v>
      </c>
      <c r="AD30" s="80">
        <f>'GREET-AFLEET Data'!ES259/MJ_MMBtu*'Conversion Factors'!E108</f>
        <v>14.98950227601062</v>
      </c>
      <c r="AE30" s="593">
        <f>'GREET-AFLEET Data'!ES257/MJ_MMBtu*'Conversion Factors'!E108</f>
        <v>4.3384836688617513E-2</v>
      </c>
      <c r="AF30" s="593">
        <f>'GREET-AFLEET Data'!ES258/MJ_MMBtu*'Conversion Factors'!E108</f>
        <v>3.6126418068448314E-4</v>
      </c>
      <c r="AG30" s="73">
        <f>-'Conversion Factors'!$C$108/'Conversion Factors'!$B$108 * 'Conversion Factors'!$D$108/'Conversion Factors'!$H$68 * 1000000/MJ_MMBtu</f>
        <v>-65.845769837756151</v>
      </c>
      <c r="AL30" s="593"/>
    </row>
    <row r="31" spans="1:38" ht="14.45" customHeight="1" x14ac:dyDescent="0.25">
      <c r="A31" t="s">
        <v>4084</v>
      </c>
      <c r="B31" t="s">
        <v>2897</v>
      </c>
      <c r="C31" t="s">
        <v>4082</v>
      </c>
      <c r="D31" t="s">
        <v>2037</v>
      </c>
      <c r="E31" t="s">
        <v>95</v>
      </c>
      <c r="F31" t="s">
        <v>4089</v>
      </c>
      <c r="G31">
        <v>2024</v>
      </c>
      <c r="H31" t="s">
        <v>2646</v>
      </c>
      <c r="I31" s="786">
        <f>$W$10+$X$10</f>
        <v>0.13588854877300036</v>
      </c>
      <c r="J31" s="787"/>
      <c r="K31" s="52" t="s">
        <v>2649</v>
      </c>
      <c r="L31" s="377">
        <v>1</v>
      </c>
      <c r="M31" s="377">
        <v>1</v>
      </c>
      <c r="N31" s="377">
        <v>1</v>
      </c>
      <c r="O31" s="377">
        <v>2</v>
      </c>
      <c r="P31" s="377">
        <v>1</v>
      </c>
      <c r="Q31" s="1044"/>
      <c r="S31" s="1044"/>
      <c r="T31" s="1087"/>
      <c r="U31" s="1087"/>
      <c r="V31" s="1087"/>
      <c r="W31" s="1087"/>
      <c r="X31" s="1087"/>
      <c r="Y31" s="1087"/>
      <c r="Z31" s="1087"/>
      <c r="AB31" s="1087" t="s">
        <v>2635</v>
      </c>
      <c r="AC31" s="1087"/>
      <c r="AD31" s="1087"/>
      <c r="AE31" s="1087"/>
      <c r="AF31" s="1087"/>
      <c r="AG31" s="1087"/>
    </row>
    <row r="32" spans="1:38" x14ac:dyDescent="0.25">
      <c r="A32" t="s">
        <v>2071</v>
      </c>
      <c r="B32" t="s">
        <v>436</v>
      </c>
      <c r="C32" t="s">
        <v>2121</v>
      </c>
      <c r="D32" t="s">
        <v>2037</v>
      </c>
      <c r="E32" t="s">
        <v>95</v>
      </c>
      <c r="F32" t="s">
        <v>2126</v>
      </c>
      <c r="G32">
        <v>2023</v>
      </c>
      <c r="H32" t="s">
        <v>2646</v>
      </c>
      <c r="I32" s="786">
        <f>$AE$12</f>
        <v>9.2320942007051585E-2</v>
      </c>
      <c r="J32" s="787"/>
      <c r="K32" s="52" t="s">
        <v>2651</v>
      </c>
      <c r="L32" s="377">
        <v>1</v>
      </c>
      <c r="M32" s="377">
        <v>1</v>
      </c>
      <c r="N32" s="377">
        <v>1</v>
      </c>
      <c r="O32" s="377">
        <v>3</v>
      </c>
      <c r="P32" s="377">
        <v>1</v>
      </c>
      <c r="Q32" s="1044"/>
      <c r="S32" s="1044"/>
      <c r="T32" s="1087"/>
      <c r="U32" s="1087"/>
      <c r="V32" s="1087"/>
      <c r="W32" s="1087"/>
      <c r="X32" s="1087"/>
      <c r="Y32" s="1087"/>
      <c r="Z32" s="1087"/>
      <c r="AB32" s="1087"/>
      <c r="AC32" s="1087"/>
      <c r="AD32" s="1087"/>
      <c r="AE32" s="1087"/>
      <c r="AF32" s="1087"/>
      <c r="AG32" s="1087"/>
    </row>
    <row r="33" spans="1:38" x14ac:dyDescent="0.25">
      <c r="A33" t="s">
        <v>2072</v>
      </c>
      <c r="B33" t="s">
        <v>436</v>
      </c>
      <c r="C33" t="s">
        <v>2122</v>
      </c>
      <c r="D33" t="s">
        <v>2037</v>
      </c>
      <c r="E33" t="s">
        <v>95</v>
      </c>
      <c r="F33" t="s">
        <v>2126</v>
      </c>
      <c r="G33">
        <v>2023</v>
      </c>
      <c r="H33" t="s">
        <v>2646</v>
      </c>
      <c r="I33" s="786">
        <f>$AE$8</f>
        <v>9.3469886560725551E-2</v>
      </c>
      <c r="J33" s="787"/>
      <c r="K33" s="52" t="s">
        <v>2652</v>
      </c>
      <c r="L33" s="377">
        <v>1</v>
      </c>
      <c r="M33" s="377">
        <v>1</v>
      </c>
      <c r="N33" s="377">
        <v>1</v>
      </c>
      <c r="O33" s="377">
        <v>3</v>
      </c>
      <c r="P33" s="377">
        <v>1</v>
      </c>
      <c r="Q33" s="1044"/>
      <c r="S33" s="1044"/>
      <c r="T33" s="1087"/>
      <c r="U33" s="1087"/>
      <c r="V33" s="1087"/>
      <c r="W33" s="1087"/>
      <c r="X33" s="1087"/>
      <c r="Y33" s="1087"/>
      <c r="Z33" s="1087"/>
      <c r="AB33" s="1087"/>
      <c r="AC33" s="1087"/>
      <c r="AD33" s="1087"/>
      <c r="AE33" s="1087"/>
      <c r="AF33" s="1087"/>
      <c r="AG33" s="1087"/>
    </row>
    <row r="34" spans="1:38" ht="14.45" customHeight="1" x14ac:dyDescent="0.25">
      <c r="A34" t="s">
        <v>2073</v>
      </c>
      <c r="B34" t="s">
        <v>436</v>
      </c>
      <c r="C34" t="s">
        <v>2123</v>
      </c>
      <c r="D34" t="s">
        <v>2037</v>
      </c>
      <c r="E34" t="s">
        <v>95</v>
      </c>
      <c r="F34" t="s">
        <v>4089</v>
      </c>
      <c r="G34">
        <v>2024</v>
      </c>
      <c r="H34" t="s">
        <v>2646</v>
      </c>
      <c r="I34" s="786">
        <f>$W$7+$X$7</f>
        <v>2.7229064857565256E-2</v>
      </c>
      <c r="J34" s="787"/>
      <c r="K34" s="52" t="s">
        <v>2649</v>
      </c>
      <c r="L34" s="377">
        <v>1</v>
      </c>
      <c r="M34" s="377">
        <v>1</v>
      </c>
      <c r="N34" s="377">
        <v>1</v>
      </c>
      <c r="O34" s="377">
        <v>2</v>
      </c>
      <c r="P34" s="377">
        <v>1</v>
      </c>
      <c r="Q34" s="1044"/>
      <c r="S34" s="1044"/>
      <c r="T34" s="1087"/>
      <c r="U34" s="1087"/>
      <c r="V34" s="1087"/>
      <c r="W34" s="1087"/>
      <c r="X34" s="1087"/>
      <c r="Y34" s="1087"/>
      <c r="Z34" s="1087"/>
      <c r="AB34" s="1087"/>
      <c r="AC34" s="1087"/>
      <c r="AD34" s="1087"/>
      <c r="AE34" s="1087"/>
      <c r="AF34" s="1087"/>
      <c r="AG34" s="1087"/>
    </row>
    <row r="35" spans="1:38" x14ac:dyDescent="0.25">
      <c r="A35" t="s">
        <v>2078</v>
      </c>
      <c r="B35" t="s">
        <v>436</v>
      </c>
      <c r="C35" t="s">
        <v>2124</v>
      </c>
      <c r="D35" t="s">
        <v>2037</v>
      </c>
      <c r="E35" t="s">
        <v>95</v>
      </c>
      <c r="F35" t="s">
        <v>2126</v>
      </c>
      <c r="G35">
        <v>2023</v>
      </c>
      <c r="H35" t="s">
        <v>2646</v>
      </c>
      <c r="I35" s="786">
        <f>AVERAGE($AE$27:$AE$30)</f>
        <v>6.3034943897311277E-2</v>
      </c>
      <c r="J35" s="787"/>
      <c r="K35" s="52" t="s">
        <v>2659</v>
      </c>
      <c r="L35" s="377">
        <v>1</v>
      </c>
      <c r="M35" s="377">
        <v>1</v>
      </c>
      <c r="N35" s="377">
        <v>1</v>
      </c>
      <c r="O35" s="377">
        <v>3</v>
      </c>
      <c r="P35" s="377">
        <v>2</v>
      </c>
      <c r="Q35" s="1044"/>
      <c r="S35" s="1044"/>
      <c r="T35" s="350"/>
      <c r="U35" s="350"/>
      <c r="V35" s="350"/>
      <c r="W35" s="350"/>
      <c r="X35" s="350"/>
      <c r="Y35" s="350"/>
      <c r="Z35" s="350"/>
      <c r="AB35" s="1087"/>
      <c r="AC35" s="1087"/>
      <c r="AD35" s="1087"/>
      <c r="AE35" s="1087"/>
      <c r="AF35" s="1087"/>
      <c r="AG35" s="1087"/>
    </row>
    <row r="36" spans="1:38" ht="15.75" x14ac:dyDescent="0.25">
      <c r="A36" t="s">
        <v>2084</v>
      </c>
      <c r="B36" t="s">
        <v>2115</v>
      </c>
      <c r="C36" t="s">
        <v>2029</v>
      </c>
      <c r="D36" t="s">
        <v>2037</v>
      </c>
      <c r="E36" t="s">
        <v>95</v>
      </c>
      <c r="F36" t="s">
        <v>4089</v>
      </c>
      <c r="G36">
        <v>2024</v>
      </c>
      <c r="H36" t="s">
        <v>2646</v>
      </c>
      <c r="I36" s="786">
        <f>($W$21+$X$21)-I25</f>
        <v>2.7644600363275762E-3</v>
      </c>
      <c r="J36" s="787"/>
      <c r="K36" s="52" t="s">
        <v>2648</v>
      </c>
      <c r="L36" s="377">
        <v>1</v>
      </c>
      <c r="M36" s="377">
        <v>1</v>
      </c>
      <c r="N36" s="377">
        <v>1</v>
      </c>
      <c r="O36" s="377">
        <v>2</v>
      </c>
      <c r="P36" s="377">
        <v>1</v>
      </c>
      <c r="Q36" s="1044"/>
      <c r="S36" s="1044"/>
      <c r="T36" s="159" t="s">
        <v>2642</v>
      </c>
      <c r="U36" s="159"/>
      <c r="AB36" s="1087"/>
      <c r="AC36" s="1087"/>
      <c r="AD36" s="1087"/>
      <c r="AE36" s="1087"/>
      <c r="AF36" s="1087"/>
      <c r="AG36" s="1087"/>
    </row>
    <row r="37" spans="1:38" ht="14.45" customHeight="1" thickBot="1" x14ac:dyDescent="0.3">
      <c r="A37" t="s">
        <v>2085</v>
      </c>
      <c r="B37" t="s">
        <v>2116</v>
      </c>
      <c r="C37" t="s">
        <v>2083</v>
      </c>
      <c r="D37" t="s">
        <v>2037</v>
      </c>
      <c r="E37" t="s">
        <v>95</v>
      </c>
      <c r="F37" t="s">
        <v>2126</v>
      </c>
      <c r="G37">
        <v>2023</v>
      </c>
      <c r="H37" t="s">
        <v>2646</v>
      </c>
      <c r="I37" s="786">
        <f>0.5*$AE$41+0.5*$AE$54</f>
        <v>1.60042558966902E-2</v>
      </c>
      <c r="J37" s="787"/>
      <c r="K37" s="52" t="s">
        <v>2653</v>
      </c>
      <c r="L37" s="377">
        <v>1</v>
      </c>
      <c r="M37" s="377">
        <v>1</v>
      </c>
      <c r="N37" s="377">
        <v>1</v>
      </c>
      <c r="O37" s="377">
        <v>3</v>
      </c>
      <c r="P37" s="377">
        <v>1</v>
      </c>
      <c r="Q37" s="1044"/>
      <c r="S37" s="1044"/>
      <c r="T37" s="88" t="s">
        <v>2636</v>
      </c>
      <c r="U37" s="88" t="s">
        <v>2637</v>
      </c>
      <c r="V37" s="88" t="s">
        <v>2643</v>
      </c>
      <c r="AB37" s="1087"/>
      <c r="AC37" s="1087"/>
      <c r="AD37" s="1087"/>
      <c r="AE37" s="1087"/>
      <c r="AF37" s="1087"/>
      <c r="AG37" s="1087"/>
    </row>
    <row r="38" spans="1:38" ht="15.75" thickTop="1" x14ac:dyDescent="0.25">
      <c r="A38" t="s">
        <v>2086</v>
      </c>
      <c r="B38" t="s">
        <v>2117</v>
      </c>
      <c r="C38" t="s">
        <v>2027</v>
      </c>
      <c r="D38" t="s">
        <v>2037</v>
      </c>
      <c r="E38" t="s">
        <v>95</v>
      </c>
      <c r="F38" t="s">
        <v>4089</v>
      </c>
      <c r="G38">
        <v>2024</v>
      </c>
      <c r="H38" t="s">
        <v>2646</v>
      </c>
      <c r="I38" s="786">
        <f>($W$20+$X$20)-I27</f>
        <v>1.5407383515330574E-2</v>
      </c>
      <c r="J38" s="787"/>
      <c r="K38" s="52" t="s">
        <v>2648</v>
      </c>
      <c r="L38" s="377">
        <v>1</v>
      </c>
      <c r="M38" s="377">
        <v>1</v>
      </c>
      <c r="N38" s="377">
        <v>1</v>
      </c>
      <c r="O38" s="377">
        <v>2</v>
      </c>
      <c r="P38" s="377">
        <v>1</v>
      </c>
      <c r="Q38" s="1044"/>
      <c r="S38" s="1044"/>
      <c r="T38" t="s">
        <v>8</v>
      </c>
      <c r="U38" s="6">
        <v>1</v>
      </c>
      <c r="V38" s="6">
        <v>1</v>
      </c>
    </row>
    <row r="39" spans="1:38" ht="15.75" x14ac:dyDescent="0.25">
      <c r="A39" t="s">
        <v>2087</v>
      </c>
      <c r="B39" t="s">
        <v>2118</v>
      </c>
      <c r="C39" t="s">
        <v>2028</v>
      </c>
      <c r="D39" t="s">
        <v>2037</v>
      </c>
      <c r="E39" t="s">
        <v>95</v>
      </c>
      <c r="F39" t="s">
        <v>4201</v>
      </c>
      <c r="G39">
        <v>2022</v>
      </c>
      <c r="H39" t="s">
        <v>2646</v>
      </c>
      <c r="I39" s="786">
        <f>$W$54</f>
        <v>1.8504826736417526E-2</v>
      </c>
      <c r="J39" s="787"/>
      <c r="K39" s="52" t="s">
        <v>4234</v>
      </c>
      <c r="L39" s="377">
        <v>1</v>
      </c>
      <c r="M39" s="377">
        <v>1</v>
      </c>
      <c r="N39" s="377">
        <v>1</v>
      </c>
      <c r="O39" s="377">
        <v>2</v>
      </c>
      <c r="P39" s="377">
        <v>1</v>
      </c>
      <c r="Q39" s="1044"/>
      <c r="S39" s="1044"/>
      <c r="T39" t="s">
        <v>14</v>
      </c>
      <c r="U39" s="6">
        <v>29.8</v>
      </c>
      <c r="V39" s="6">
        <v>82.5</v>
      </c>
      <c r="AB39" s="159" t="s">
        <v>2634</v>
      </c>
    </row>
    <row r="40" spans="1:38" ht="15.75" thickBot="1" x14ac:dyDescent="0.3">
      <c r="A40" t="s">
        <v>2088</v>
      </c>
      <c r="B40" t="s">
        <v>2119</v>
      </c>
      <c r="C40" t="s">
        <v>2055</v>
      </c>
      <c r="D40" t="s">
        <v>2037</v>
      </c>
      <c r="E40" t="s">
        <v>95</v>
      </c>
      <c r="F40" t="s">
        <v>4089</v>
      </c>
      <c r="G40">
        <v>2024</v>
      </c>
      <c r="H40" t="s">
        <v>2646</v>
      </c>
      <c r="I40" s="786">
        <f>($W$22+$X$22)-I29</f>
        <v>0.23444799999999996</v>
      </c>
      <c r="J40" s="787"/>
      <c r="K40" s="52" t="s">
        <v>2648</v>
      </c>
      <c r="L40" s="377">
        <v>1</v>
      </c>
      <c r="M40" s="377">
        <v>1</v>
      </c>
      <c r="N40" s="377">
        <v>1</v>
      </c>
      <c r="O40" s="377">
        <v>2</v>
      </c>
      <c r="P40" s="377">
        <v>1</v>
      </c>
      <c r="Q40" s="1044"/>
      <c r="S40" s="1044"/>
      <c r="T40" s="375" t="s">
        <v>10</v>
      </c>
      <c r="U40" s="6">
        <v>273</v>
      </c>
      <c r="V40" s="6">
        <v>273</v>
      </c>
      <c r="W40" s="350"/>
      <c r="X40" s="350"/>
      <c r="Y40" s="350"/>
      <c r="Z40" s="350"/>
      <c r="AB40" s="88" t="s">
        <v>225</v>
      </c>
      <c r="AC40" s="88" t="s">
        <v>2190</v>
      </c>
      <c r="AD40" s="88" t="s">
        <v>8</v>
      </c>
      <c r="AE40" s="88" t="s">
        <v>14</v>
      </c>
      <c r="AF40" s="88" t="s">
        <v>10</v>
      </c>
      <c r="AG40" s="593"/>
    </row>
    <row r="41" spans="1:38" ht="15.75" thickTop="1" x14ac:dyDescent="0.25">
      <c r="A41" t="s">
        <v>2089</v>
      </c>
      <c r="B41" t="s">
        <v>2120</v>
      </c>
      <c r="C41" t="s">
        <v>2060</v>
      </c>
      <c r="D41" t="s">
        <v>2037</v>
      </c>
      <c r="E41" t="s">
        <v>95</v>
      </c>
      <c r="F41" t="s">
        <v>4089</v>
      </c>
      <c r="G41">
        <v>2024</v>
      </c>
      <c r="H41" t="s">
        <v>2646</v>
      </c>
      <c r="I41" s="786"/>
      <c r="J41" s="787">
        <f>($W$23+$X$23)-J30</f>
        <v>5.3229399999999982E-3</v>
      </c>
      <c r="K41" s="52" t="s">
        <v>2648</v>
      </c>
      <c r="L41" s="377">
        <v>1</v>
      </c>
      <c r="M41" s="377">
        <v>1</v>
      </c>
      <c r="N41" s="377">
        <v>1</v>
      </c>
      <c r="O41" s="377">
        <v>2</v>
      </c>
      <c r="P41" s="377">
        <v>1</v>
      </c>
      <c r="Q41" s="1044"/>
      <c r="S41" s="1044"/>
      <c r="T41" s="350"/>
      <c r="U41" s="350"/>
      <c r="V41" s="350"/>
      <c r="W41" s="350"/>
      <c r="X41" s="350"/>
      <c r="Y41" s="350"/>
      <c r="Z41" s="350"/>
      <c r="AB41" t="s">
        <v>2191</v>
      </c>
      <c r="AC41" t="s">
        <v>2629</v>
      </c>
      <c r="AD41" s="73">
        <v>70.293274862450787</v>
      </c>
      <c r="AE41" s="593">
        <v>1.60042558966902E-2</v>
      </c>
      <c r="AF41" s="593">
        <v>9.5434261053573596E-5</v>
      </c>
    </row>
    <row r="42" spans="1:38" ht="15.75" x14ac:dyDescent="0.25">
      <c r="A42" t="s">
        <v>4085</v>
      </c>
      <c r="B42" t="s">
        <v>4082</v>
      </c>
      <c r="C42" t="s">
        <v>4083</v>
      </c>
      <c r="D42" t="s">
        <v>2037</v>
      </c>
      <c r="E42" t="s">
        <v>95</v>
      </c>
      <c r="F42" t="s">
        <v>4089</v>
      </c>
      <c r="G42">
        <v>2024</v>
      </c>
      <c r="H42" t="s">
        <v>2646</v>
      </c>
      <c r="I42" s="786">
        <f>($W$27+$X$27)-I31</f>
        <v>5.3229399999999982E-3</v>
      </c>
      <c r="J42" s="787"/>
      <c r="K42" s="52" t="s">
        <v>2889</v>
      </c>
      <c r="L42" s="377">
        <v>1</v>
      </c>
      <c r="M42" s="377">
        <v>1</v>
      </c>
      <c r="N42" s="377">
        <v>1</v>
      </c>
      <c r="O42" s="377">
        <v>2</v>
      </c>
      <c r="P42" s="377">
        <v>1</v>
      </c>
      <c r="Q42" s="1044"/>
      <c r="S42" s="1044"/>
      <c r="T42" s="159" t="s">
        <v>4229</v>
      </c>
      <c r="AB42" t="s">
        <v>241</v>
      </c>
      <c r="AC42" t="s">
        <v>47</v>
      </c>
      <c r="AD42" s="73">
        <v>50.432696565778897</v>
      </c>
      <c r="AE42" s="593">
        <v>9.0336449961393006E-2</v>
      </c>
      <c r="AF42" s="593">
        <v>3.21643407787369E-5</v>
      </c>
    </row>
    <row r="43" spans="1:38" ht="15.75" thickBot="1" x14ac:dyDescent="0.3">
      <c r="A43" t="s">
        <v>2090</v>
      </c>
      <c r="B43" t="s">
        <v>2121</v>
      </c>
      <c r="C43" t="s">
        <v>2058</v>
      </c>
      <c r="D43" t="s">
        <v>2037</v>
      </c>
      <c r="E43" t="s">
        <v>95</v>
      </c>
      <c r="F43" t="s">
        <v>2126</v>
      </c>
      <c r="G43">
        <v>2023</v>
      </c>
      <c r="H43" t="s">
        <v>2646</v>
      </c>
      <c r="I43" s="786">
        <f>$AE$52</f>
        <v>1.1127363900800061E-3</v>
      </c>
      <c r="J43" s="787"/>
      <c r="K43" s="52" t="s">
        <v>2654</v>
      </c>
      <c r="L43" s="377">
        <v>1</v>
      </c>
      <c r="M43" s="377">
        <v>1</v>
      </c>
      <c r="N43" s="377">
        <v>1</v>
      </c>
      <c r="O43" s="377">
        <v>3</v>
      </c>
      <c r="P43" s="377">
        <v>1</v>
      </c>
      <c r="Q43" s="1044"/>
      <c r="S43" s="1044"/>
      <c r="T43" s="281" t="s">
        <v>225</v>
      </c>
      <c r="U43" s="281" t="s">
        <v>2375</v>
      </c>
      <c r="V43" s="281" t="s">
        <v>8</v>
      </c>
      <c r="W43" s="281" t="s">
        <v>14</v>
      </c>
      <c r="X43" s="281" t="s">
        <v>10</v>
      </c>
      <c r="AB43" t="s">
        <v>2193</v>
      </c>
      <c r="AC43" t="s">
        <v>2631</v>
      </c>
      <c r="AD43" s="73">
        <v>89.285807308684099</v>
      </c>
      <c r="AE43" s="593">
        <v>1.1124832870221899E-3</v>
      </c>
      <c r="AF43" s="593">
        <v>7.6516707622634303E-4</v>
      </c>
    </row>
    <row r="44" spans="1:38" ht="15.75" thickTop="1" x14ac:dyDescent="0.25">
      <c r="A44" t="s">
        <v>2091</v>
      </c>
      <c r="B44" t="s">
        <v>2122</v>
      </c>
      <c r="C44" t="s">
        <v>2059</v>
      </c>
      <c r="D44" t="s">
        <v>2037</v>
      </c>
      <c r="E44" t="s">
        <v>95</v>
      </c>
      <c r="F44" t="s">
        <v>2126</v>
      </c>
      <c r="G44">
        <v>2023</v>
      </c>
      <c r="H44" t="s">
        <v>2646</v>
      </c>
      <c r="I44" s="786">
        <f>$AE$48</f>
        <v>1.1018952457852911E-3</v>
      </c>
      <c r="J44" s="787"/>
      <c r="K44" s="52" t="s">
        <v>2655</v>
      </c>
      <c r="L44" s="377">
        <v>1</v>
      </c>
      <c r="M44" s="377">
        <v>1</v>
      </c>
      <c r="N44" s="377">
        <v>1</v>
      </c>
      <c r="O44" s="377">
        <v>3</v>
      </c>
      <c r="P44" s="377">
        <v>1</v>
      </c>
      <c r="Q44" s="1044"/>
      <c r="S44" s="1044"/>
      <c r="T44" t="s">
        <v>23</v>
      </c>
      <c r="U44" t="s">
        <v>2417</v>
      </c>
      <c r="V44" s="73">
        <v>25.279594781250058</v>
      </c>
      <c r="W44" s="593">
        <v>-5.8894477974681649E-2</v>
      </c>
      <c r="X44" s="593">
        <v>2.9051675036269445E-2</v>
      </c>
      <c r="AB44" t="s">
        <v>2195</v>
      </c>
      <c r="AC44" t="s">
        <v>2631</v>
      </c>
      <c r="AD44" s="73">
        <v>95.474879597321703</v>
      </c>
      <c r="AE44" s="593">
        <v>1.1124832870221899E-3</v>
      </c>
      <c r="AF44" s="593">
        <v>7.6516707622634303E-4</v>
      </c>
      <c r="AL44" s="593"/>
    </row>
    <row r="45" spans="1:38" x14ac:dyDescent="0.25">
      <c r="A45" t="s">
        <v>2092</v>
      </c>
      <c r="B45" t="s">
        <v>2123</v>
      </c>
      <c r="C45" t="s">
        <v>2030</v>
      </c>
      <c r="D45" t="s">
        <v>2037</v>
      </c>
      <c r="E45" t="s">
        <v>95</v>
      </c>
      <c r="F45" t="s">
        <v>4089</v>
      </c>
      <c r="G45">
        <v>2024</v>
      </c>
      <c r="H45" t="s">
        <v>2646</v>
      </c>
      <c r="I45" s="786">
        <f>($W$24+$X$24)-I34</f>
        <v>8.2173659405074609E-4</v>
      </c>
      <c r="J45" s="787"/>
      <c r="K45" s="52" t="s">
        <v>2648</v>
      </c>
      <c r="L45" s="377">
        <v>1</v>
      </c>
      <c r="M45" s="377">
        <v>1</v>
      </c>
      <c r="N45" s="377">
        <v>1</v>
      </c>
      <c r="O45" s="377">
        <v>2</v>
      </c>
      <c r="P45" s="377">
        <v>1</v>
      </c>
      <c r="Q45" s="1044"/>
      <c r="S45" s="1044"/>
      <c r="T45" t="s">
        <v>23</v>
      </c>
      <c r="U45" t="s">
        <v>4146</v>
      </c>
      <c r="V45" s="73">
        <v>18.682543824838412</v>
      </c>
      <c r="W45" s="593">
        <v>9.7935692582730549E-2</v>
      </c>
      <c r="X45" s="593">
        <v>1.4886096869642642E-2</v>
      </c>
      <c r="AB45" t="s">
        <v>1592</v>
      </c>
      <c r="AC45" t="s">
        <v>2630</v>
      </c>
      <c r="AD45" s="73">
        <v>70.030527824285301</v>
      </c>
      <c r="AE45" s="593">
        <v>1.60042558966902E-2</v>
      </c>
      <c r="AF45" s="593">
        <v>9.5434261053573596E-5</v>
      </c>
    </row>
    <row r="46" spans="1:38" x14ac:dyDescent="0.25">
      <c r="A46" t="s">
        <v>2093</v>
      </c>
      <c r="B46" t="s">
        <v>2124</v>
      </c>
      <c r="C46" t="s">
        <v>2031</v>
      </c>
      <c r="D46" t="s">
        <v>2037</v>
      </c>
      <c r="E46" t="s">
        <v>95</v>
      </c>
      <c r="F46" t="s">
        <v>2126</v>
      </c>
      <c r="G46">
        <v>2023</v>
      </c>
      <c r="H46" t="s">
        <v>2646</v>
      </c>
      <c r="I46" s="786">
        <f>$AE$56</f>
        <v>3.2823653008511299E-5</v>
      </c>
      <c r="J46" s="787"/>
      <c r="K46" s="52" t="s">
        <v>2656</v>
      </c>
      <c r="L46" s="377">
        <v>1</v>
      </c>
      <c r="M46" s="377">
        <v>1</v>
      </c>
      <c r="N46" s="377">
        <v>1</v>
      </c>
      <c r="O46" s="377">
        <v>3</v>
      </c>
      <c r="P46" s="377">
        <v>2</v>
      </c>
      <c r="Q46" s="1044"/>
      <c r="S46" s="1044"/>
      <c r="T46" t="s">
        <v>23</v>
      </c>
      <c r="U46" t="s">
        <v>4147</v>
      </c>
      <c r="V46" s="73">
        <v>39.703913265207724</v>
      </c>
      <c r="W46" s="593">
        <v>0.103907101596953</v>
      </c>
      <c r="X46" s="593">
        <v>3.269714964705054E-2</v>
      </c>
      <c r="AB46" t="s">
        <v>2198</v>
      </c>
      <c r="AC46" t="s">
        <v>2632</v>
      </c>
      <c r="AD46" s="73">
        <v>63.817731575385302</v>
      </c>
      <c r="AE46" s="593">
        <v>0.130321657222885</v>
      </c>
      <c r="AF46" s="593">
        <v>8.0693200408765098E-2</v>
      </c>
      <c r="AL46" s="593"/>
    </row>
    <row r="47" spans="1:38" x14ac:dyDescent="0.25">
      <c r="A47" t="s">
        <v>2067</v>
      </c>
      <c r="B47" t="s">
        <v>436</v>
      </c>
      <c r="C47" t="s">
        <v>2115</v>
      </c>
      <c r="D47" t="s">
        <v>2036</v>
      </c>
      <c r="E47" t="s">
        <v>95</v>
      </c>
      <c r="F47" t="s">
        <v>4089</v>
      </c>
      <c r="G47">
        <v>2024</v>
      </c>
      <c r="H47" t="s">
        <v>2647</v>
      </c>
      <c r="I47" s="786">
        <f>$Y$4</f>
        <v>9.8558613594001605E-5</v>
      </c>
      <c r="J47" s="787"/>
      <c r="K47" s="52" t="s">
        <v>2650</v>
      </c>
      <c r="L47" s="377">
        <v>1</v>
      </c>
      <c r="M47" s="377">
        <v>1</v>
      </c>
      <c r="N47" s="377">
        <v>1</v>
      </c>
      <c r="O47" s="377">
        <v>2</v>
      </c>
      <c r="P47" s="377">
        <v>1</v>
      </c>
      <c r="Q47" s="1044"/>
      <c r="S47" s="1044"/>
      <c r="T47" t="s">
        <v>4099</v>
      </c>
      <c r="U47" t="s">
        <v>4152</v>
      </c>
      <c r="V47" s="73">
        <v>3.5137878305420256</v>
      </c>
      <c r="W47" s="593">
        <v>9.1565767059746568E-3</v>
      </c>
      <c r="X47" s="593">
        <v>1.6000227383607124E-2</v>
      </c>
      <c r="AB47" t="s">
        <v>1690</v>
      </c>
      <c r="AC47" t="s">
        <v>2632</v>
      </c>
      <c r="AD47" s="73">
        <v>67.418621553162296</v>
      </c>
      <c r="AE47" s="593">
        <v>0.12570743895462899</v>
      </c>
      <c r="AF47" s="593">
        <v>7.78361461586322E-2</v>
      </c>
      <c r="AL47" s="593"/>
    </row>
    <row r="48" spans="1:38" x14ac:dyDescent="0.25">
      <c r="A48" t="s">
        <v>2082</v>
      </c>
      <c r="B48" t="s">
        <v>436</v>
      </c>
      <c r="C48" t="s">
        <v>2116</v>
      </c>
      <c r="D48" t="s">
        <v>2036</v>
      </c>
      <c r="E48" t="s">
        <v>95</v>
      </c>
      <c r="F48" t="s">
        <v>2126</v>
      </c>
      <c r="G48">
        <v>2023</v>
      </c>
      <c r="H48" t="s">
        <v>2647</v>
      </c>
      <c r="I48" s="786">
        <f>0.5*($AF$25)+0.5*($AF$26)</f>
        <v>1.0361177815670078E-2</v>
      </c>
      <c r="J48" s="787"/>
      <c r="K48" s="52" t="s">
        <v>2657</v>
      </c>
      <c r="L48" s="377">
        <v>1</v>
      </c>
      <c r="M48" s="377">
        <v>1</v>
      </c>
      <c r="N48" s="377">
        <v>1</v>
      </c>
      <c r="O48" s="377">
        <v>3</v>
      </c>
      <c r="P48" s="377">
        <v>1</v>
      </c>
      <c r="Q48" s="1044"/>
      <c r="S48" s="1044"/>
      <c r="T48" t="s">
        <v>239</v>
      </c>
      <c r="U48" t="s">
        <v>4153</v>
      </c>
      <c r="V48" s="73">
        <v>-0.99038394138913832</v>
      </c>
      <c r="W48" s="593">
        <v>1.8669602384246899E-2</v>
      </c>
      <c r="X48" s="593">
        <v>1.6268788987266816E-2</v>
      </c>
      <c r="AB48" t="s">
        <v>1622</v>
      </c>
      <c r="AC48" t="s">
        <v>2633</v>
      </c>
      <c r="AD48" s="73">
        <f>'GREET-AFLEET Data'!E322/MJ_MMBtu*0.935</f>
        <v>75.034540596790293</v>
      </c>
      <c r="AE48" s="593">
        <f>'GREET-AFLEET Data'!E320/MJ_MMBtu*0.935</f>
        <v>1.1018952457852911E-3</v>
      </c>
      <c r="AF48" s="593">
        <f>'GREET-AFLEET Data'!E321/MJ_MMBtu*0.935</f>
        <v>3.7464438356699901E-3</v>
      </c>
      <c r="AL48" s="593"/>
    </row>
    <row r="49" spans="1:38" x14ac:dyDescent="0.25">
      <c r="A49" t="s">
        <v>2068</v>
      </c>
      <c r="B49" t="s">
        <v>436</v>
      </c>
      <c r="C49" t="s">
        <v>2117</v>
      </c>
      <c r="D49" t="s">
        <v>2036</v>
      </c>
      <c r="E49" t="s">
        <v>95</v>
      </c>
      <c r="F49" t="s">
        <v>4089</v>
      </c>
      <c r="G49">
        <v>2024</v>
      </c>
      <c r="H49" t="s">
        <v>2647</v>
      </c>
      <c r="I49" s="786">
        <f>$Y$3</f>
        <v>1.1850747413351399E-4</v>
      </c>
      <c r="J49" s="787"/>
      <c r="K49" s="52" t="s">
        <v>2649</v>
      </c>
      <c r="L49" s="377">
        <v>1</v>
      </c>
      <c r="M49" s="377">
        <v>1</v>
      </c>
      <c r="N49" s="377">
        <v>1</v>
      </c>
      <c r="O49" s="377">
        <v>2</v>
      </c>
      <c r="P49" s="377">
        <v>1</v>
      </c>
      <c r="Q49" s="1044"/>
      <c r="S49" s="1044"/>
      <c r="T49" t="s">
        <v>4104</v>
      </c>
      <c r="U49" t="s">
        <v>4156</v>
      </c>
      <c r="V49" s="73">
        <v>12.448247905991719</v>
      </c>
      <c r="W49" s="593">
        <v>2.7499708439570895E-2</v>
      </c>
      <c r="X49" s="593">
        <v>-1.7202714135157293E-2</v>
      </c>
      <c r="AB49" t="s">
        <v>2185</v>
      </c>
      <c r="AC49" t="s">
        <v>638</v>
      </c>
      <c r="AD49" s="73">
        <v>68.4076748297732</v>
      </c>
      <c r="AE49" s="593">
        <v>9.9163482625114094E-5</v>
      </c>
      <c r="AF49" s="593">
        <v>1.9454882759997901E-4</v>
      </c>
      <c r="AL49" s="593"/>
    </row>
    <row r="50" spans="1:38" x14ac:dyDescent="0.25">
      <c r="A50" t="s">
        <v>2077</v>
      </c>
      <c r="B50" t="s">
        <v>436</v>
      </c>
      <c r="C50" t="s">
        <v>2118</v>
      </c>
      <c r="D50" t="s">
        <v>2036</v>
      </c>
      <c r="E50" t="s">
        <v>95</v>
      </c>
      <c r="F50" t="s">
        <v>2126</v>
      </c>
      <c r="G50">
        <v>2023</v>
      </c>
      <c r="H50" t="s">
        <v>2647</v>
      </c>
      <c r="I50" s="786">
        <f>$AF$24</f>
        <v>3.3100110666183846E-2</v>
      </c>
      <c r="J50" s="787"/>
      <c r="K50" s="52" t="s">
        <v>2658</v>
      </c>
      <c r="L50" s="377">
        <v>1</v>
      </c>
      <c r="M50" s="377">
        <v>1</v>
      </c>
      <c r="N50" s="377">
        <v>1</v>
      </c>
      <c r="O50" s="377">
        <v>3</v>
      </c>
      <c r="P50" s="377">
        <v>1</v>
      </c>
      <c r="Q50" s="1044"/>
      <c r="S50" s="1044"/>
      <c r="T50" t="s">
        <v>239</v>
      </c>
      <c r="U50" t="s">
        <v>4104</v>
      </c>
      <c r="V50" s="73">
        <v>14.646979454771005</v>
      </c>
      <c r="W50" s="593">
        <v>5.2479315101958489E-2</v>
      </c>
      <c r="X50" s="593">
        <v>-1.8593281653862506E-2</v>
      </c>
      <c r="AB50" t="s">
        <v>233</v>
      </c>
      <c r="AC50" t="s">
        <v>2633</v>
      </c>
      <c r="AD50" s="73">
        <v>48.302979865160701</v>
      </c>
      <c r="AE50" s="593">
        <v>0.55062507828377005</v>
      </c>
      <c r="AF50" s="593">
        <v>1.67005377013927E-3</v>
      </c>
    </row>
    <row r="51" spans="1:38" x14ac:dyDescent="0.25">
      <c r="A51" t="s">
        <v>2069</v>
      </c>
      <c r="B51" t="s">
        <v>436</v>
      </c>
      <c r="C51" t="s">
        <v>2119</v>
      </c>
      <c r="D51" t="s">
        <v>2036</v>
      </c>
      <c r="E51" t="s">
        <v>95</v>
      </c>
      <c r="F51" t="s">
        <v>4089</v>
      </c>
      <c r="G51">
        <v>2024</v>
      </c>
      <c r="H51" t="s">
        <v>2647</v>
      </c>
      <c r="I51" s="786">
        <f>$Y$5</f>
        <v>4.5206726286654402E-4</v>
      </c>
      <c r="J51" s="787"/>
      <c r="K51" s="52" t="s">
        <v>2649</v>
      </c>
      <c r="L51" s="377">
        <v>1</v>
      </c>
      <c r="M51" s="377">
        <v>1</v>
      </c>
      <c r="N51" s="377">
        <v>1</v>
      </c>
      <c r="O51" s="377">
        <v>2</v>
      </c>
      <c r="P51" s="377">
        <v>1</v>
      </c>
      <c r="V51" s="73"/>
      <c r="W51" s="593"/>
      <c r="X51" s="593"/>
      <c r="AB51" t="s">
        <v>232</v>
      </c>
      <c r="AC51" t="s">
        <v>2627</v>
      </c>
      <c r="AD51" s="73">
        <v>59.5677976818099</v>
      </c>
      <c r="AE51" s="593">
        <v>0.13156794130414901</v>
      </c>
      <c r="AF51" s="593">
        <v>8.1464880654535901E-2</v>
      </c>
    </row>
    <row r="52" spans="1:38" ht="15.75" x14ac:dyDescent="0.25">
      <c r="A52" t="s">
        <v>2070</v>
      </c>
      <c r="B52" t="s">
        <v>436</v>
      </c>
      <c r="C52" t="s">
        <v>2120</v>
      </c>
      <c r="D52" t="s">
        <v>2036</v>
      </c>
      <c r="E52" t="s">
        <v>95</v>
      </c>
      <c r="F52" t="s">
        <v>4089</v>
      </c>
      <c r="G52">
        <v>2024</v>
      </c>
      <c r="H52" t="s">
        <v>2647</v>
      </c>
      <c r="I52" s="786"/>
      <c r="J52" s="787">
        <f>$Y$6</f>
        <v>3.6675918264140496E-4</v>
      </c>
      <c r="K52" s="52" t="s">
        <v>2649</v>
      </c>
      <c r="L52" s="377">
        <v>1</v>
      </c>
      <c r="M52" s="377">
        <v>1</v>
      </c>
      <c r="N52" s="377">
        <v>1</v>
      </c>
      <c r="O52" s="377">
        <v>2</v>
      </c>
      <c r="P52" s="377">
        <v>1</v>
      </c>
      <c r="T52" s="159" t="s">
        <v>4230</v>
      </c>
      <c r="AB52" t="s">
        <v>1623</v>
      </c>
      <c r="AC52" t="s">
        <v>2633</v>
      </c>
      <c r="AD52" s="73">
        <f>'GREET-AFLEET Data'!H322/MJ_MMBtu*0.935</f>
        <v>72.116455655279083</v>
      </c>
      <c r="AE52" s="593">
        <f>'GREET-AFLEET Data'!H320/MJ_MMBtu*0.935</f>
        <v>1.1127363900800061E-3</v>
      </c>
      <c r="AF52" s="593">
        <f>'GREET-AFLEET Data'!H321/MJ_MMBtu*0.935</f>
        <v>3.7833037262720204E-3</v>
      </c>
    </row>
    <row r="53" spans="1:38" ht="15.75" thickBot="1" x14ac:dyDescent="0.3">
      <c r="A53" t="s">
        <v>4084</v>
      </c>
      <c r="B53" t="s">
        <v>2897</v>
      </c>
      <c r="C53" t="s">
        <v>4082</v>
      </c>
      <c r="D53" t="s">
        <v>2036</v>
      </c>
      <c r="E53" t="s">
        <v>95</v>
      </c>
      <c r="F53" t="s">
        <v>4089</v>
      </c>
      <c r="G53">
        <v>2024</v>
      </c>
      <c r="H53" t="s">
        <v>2647</v>
      </c>
      <c r="I53" s="786">
        <f>$Y$10</f>
        <v>3.6675916286654401E-4</v>
      </c>
      <c r="J53" s="787"/>
      <c r="K53" s="52" t="s">
        <v>2649</v>
      </c>
      <c r="L53" s="377">
        <v>1</v>
      </c>
      <c r="M53" s="377">
        <v>1</v>
      </c>
      <c r="N53" s="377">
        <v>1</v>
      </c>
      <c r="O53" s="377">
        <v>2</v>
      </c>
      <c r="P53" s="377">
        <v>1</v>
      </c>
      <c r="T53" s="281" t="s">
        <v>225</v>
      </c>
      <c r="U53" s="281" t="s">
        <v>4231</v>
      </c>
      <c r="V53" s="281" t="s">
        <v>8</v>
      </c>
      <c r="W53" s="281" t="s">
        <v>14</v>
      </c>
      <c r="X53" s="281" t="s">
        <v>10</v>
      </c>
      <c r="AB53" t="s">
        <v>2203</v>
      </c>
      <c r="AC53" t="s">
        <v>20</v>
      </c>
      <c r="AD53" s="73">
        <v>50.810917164716898</v>
      </c>
      <c r="AE53" s="593">
        <v>9.0723159347441099E-4</v>
      </c>
      <c r="AF53" s="593">
        <v>6.4190914632623398E-4</v>
      </c>
      <c r="AL53" s="593"/>
    </row>
    <row r="54" spans="1:38" ht="15.75" thickTop="1" x14ac:dyDescent="0.25">
      <c r="A54" t="s">
        <v>2071</v>
      </c>
      <c r="B54" t="s">
        <v>436</v>
      </c>
      <c r="C54" t="s">
        <v>2121</v>
      </c>
      <c r="D54" t="s">
        <v>2036</v>
      </c>
      <c r="E54" t="s">
        <v>95</v>
      </c>
      <c r="F54" t="s">
        <v>2126</v>
      </c>
      <c r="G54">
        <v>2023</v>
      </c>
      <c r="H54" t="s">
        <v>2647</v>
      </c>
      <c r="I54" s="786">
        <f>$AF$12</f>
        <v>1.6689736096117986E-4</v>
      </c>
      <c r="J54" s="787"/>
      <c r="K54" s="52" t="s">
        <v>2651</v>
      </c>
      <c r="L54" s="377">
        <v>1</v>
      </c>
      <c r="M54" s="377">
        <v>1</v>
      </c>
      <c r="N54" s="377">
        <v>1</v>
      </c>
      <c r="O54" s="377">
        <v>3</v>
      </c>
      <c r="P54" s="377">
        <v>1</v>
      </c>
      <c r="T54" t="s">
        <v>23</v>
      </c>
      <c r="U54" t="s">
        <v>4232</v>
      </c>
      <c r="V54" s="73">
        <f>SUM('GHGenius502b Data'!F27:F29)/1000</f>
        <v>0.77609505428296688</v>
      </c>
      <c r="W54" s="593">
        <f>'GHGenius502b Data'!F21/1000</f>
        <v>1.8504826736417526E-2</v>
      </c>
      <c r="X54" s="593">
        <f>'GHGenius502b Data'!F23/1000</f>
        <v>4.0139114276615019E-3</v>
      </c>
      <c r="AB54" t="s">
        <v>2216</v>
      </c>
      <c r="AC54" t="s">
        <v>2629</v>
      </c>
      <c r="AD54" s="73">
        <v>68.214614544235559</v>
      </c>
      <c r="AE54" s="593">
        <v>1.60042558966902E-2</v>
      </c>
      <c r="AF54" s="593">
        <v>9.5434261053573596E-5</v>
      </c>
    </row>
    <row r="55" spans="1:38" x14ac:dyDescent="0.25">
      <c r="A55" t="s">
        <v>2072</v>
      </c>
      <c r="B55" t="s">
        <v>436</v>
      </c>
      <c r="C55" t="s">
        <v>2122</v>
      </c>
      <c r="D55" t="s">
        <v>2036</v>
      </c>
      <c r="E55" t="s">
        <v>95</v>
      </c>
      <c r="F55" t="s">
        <v>2126</v>
      </c>
      <c r="G55">
        <v>2023</v>
      </c>
      <c r="H55" t="s">
        <v>2647</v>
      </c>
      <c r="I55" s="786">
        <f>$AF$8</f>
        <v>1.7522743257030327E-4</v>
      </c>
      <c r="J55" s="787"/>
      <c r="K55" s="52" t="s">
        <v>2652</v>
      </c>
      <c r="L55" s="377">
        <v>1</v>
      </c>
      <c r="M55" s="377">
        <v>1</v>
      </c>
      <c r="N55" s="377">
        <v>1</v>
      </c>
      <c r="O55" s="377">
        <v>3</v>
      </c>
      <c r="P55" s="377">
        <v>1</v>
      </c>
      <c r="T55" t="s">
        <v>239</v>
      </c>
      <c r="U55" t="s">
        <v>4233</v>
      </c>
      <c r="V55" s="73">
        <f>SUM('GHGenius502b Data'!G27:G29)/1000</f>
        <v>0.73832477916928474</v>
      </c>
      <c r="W55" s="593">
        <f>'GHGenius502b Data'!G21/1000</f>
        <v>3.6394893025290553E-3</v>
      </c>
      <c r="X55" s="593">
        <f>'GHGenius502b Data'!G23/1000</f>
        <v>2.6122851373696072E-3</v>
      </c>
      <c r="AB55" t="s">
        <v>2206</v>
      </c>
      <c r="AC55" t="s">
        <v>2631</v>
      </c>
      <c r="AD55" s="73">
        <v>75.339221679449494</v>
      </c>
      <c r="AE55" s="593">
        <v>2.8633413103201998E-3</v>
      </c>
      <c r="AF55" s="593">
        <v>1.51718982459554E-3</v>
      </c>
    </row>
    <row r="56" spans="1:38" x14ac:dyDescent="0.25">
      <c r="A56" t="s">
        <v>2073</v>
      </c>
      <c r="B56" t="s">
        <v>436</v>
      </c>
      <c r="C56" t="s">
        <v>2123</v>
      </c>
      <c r="D56" t="s">
        <v>2036</v>
      </c>
      <c r="E56" t="s">
        <v>95</v>
      </c>
      <c r="F56" t="s">
        <v>4089</v>
      </c>
      <c r="G56">
        <v>2024</v>
      </c>
      <c r="H56" t="s">
        <v>2647</v>
      </c>
      <c r="I56" s="786">
        <f>$Y$7</f>
        <v>6.2330550954728693E-5</v>
      </c>
      <c r="J56" s="787"/>
      <c r="K56" s="52" t="s">
        <v>2649</v>
      </c>
      <c r="L56" s="377">
        <v>1</v>
      </c>
      <c r="M56" s="377">
        <v>1</v>
      </c>
      <c r="N56" s="377">
        <v>1</v>
      </c>
      <c r="O56" s="377">
        <v>2</v>
      </c>
      <c r="P56" s="377">
        <v>1</v>
      </c>
      <c r="V56" s="73"/>
      <c r="W56" s="593"/>
      <c r="X56" s="593"/>
      <c r="AB56" t="s">
        <v>2208</v>
      </c>
      <c r="AC56" t="s">
        <v>639</v>
      </c>
      <c r="AD56" s="73">
        <v>65.845676929377703</v>
      </c>
      <c r="AE56" s="593">
        <v>3.2823653008511299E-5</v>
      </c>
      <c r="AF56" s="593">
        <v>6.4396722424694296E-5</v>
      </c>
    </row>
    <row r="57" spans="1:38" x14ac:dyDescent="0.25">
      <c r="A57" t="s">
        <v>2078</v>
      </c>
      <c r="B57" t="s">
        <v>436</v>
      </c>
      <c r="C57" t="s">
        <v>2124</v>
      </c>
      <c r="D57" t="s">
        <v>2036</v>
      </c>
      <c r="E57" t="s">
        <v>95</v>
      </c>
      <c r="F57" t="s">
        <v>2126</v>
      </c>
      <c r="G57">
        <v>2023</v>
      </c>
      <c r="H57" t="s">
        <v>2647</v>
      </c>
      <c r="I57" s="786">
        <f>AVERAGE($AF$27:$AF$30)</f>
        <v>1.313920223255873E-2</v>
      </c>
      <c r="J57" s="787"/>
      <c r="K57" s="52" t="s">
        <v>2659</v>
      </c>
      <c r="L57" s="377">
        <v>1</v>
      </c>
      <c r="M57" s="377">
        <v>1</v>
      </c>
      <c r="N57" s="377">
        <v>1</v>
      </c>
      <c r="O57" s="377">
        <v>3</v>
      </c>
      <c r="P57" s="377">
        <v>2</v>
      </c>
      <c r="AB57" t="s">
        <v>2224</v>
      </c>
      <c r="AC57" t="s">
        <v>2631</v>
      </c>
      <c r="AD57" s="73">
        <v>52.275689184738397</v>
      </c>
      <c r="AE57" s="593">
        <v>2.7509548530269701E-3</v>
      </c>
      <c r="AF57" s="593">
        <v>5.32801033645754E-4</v>
      </c>
      <c r="AL57" s="593"/>
    </row>
    <row r="58" spans="1:38" x14ac:dyDescent="0.25">
      <c r="A58" t="s">
        <v>2084</v>
      </c>
      <c r="B58" t="s">
        <v>2115</v>
      </c>
      <c r="C58" t="s">
        <v>2029</v>
      </c>
      <c r="D58" t="s">
        <v>2036</v>
      </c>
      <c r="E58" t="s">
        <v>95</v>
      </c>
      <c r="F58" t="s">
        <v>4089</v>
      </c>
      <c r="G58">
        <v>2024</v>
      </c>
      <c r="H58" t="s">
        <v>2647</v>
      </c>
      <c r="I58" s="786">
        <f>($Y$21)-I47</f>
        <v>5.2136854648843585E-3</v>
      </c>
      <c r="J58" s="787"/>
      <c r="K58" s="52" t="s">
        <v>2648</v>
      </c>
      <c r="L58" s="377">
        <v>1</v>
      </c>
      <c r="M58" s="377">
        <v>1</v>
      </c>
      <c r="N58" s="377">
        <v>1</v>
      </c>
      <c r="O58" s="377">
        <v>2</v>
      </c>
      <c r="P58" s="377">
        <v>1</v>
      </c>
      <c r="AB58" t="s">
        <v>2214</v>
      </c>
      <c r="AC58" t="s">
        <v>2628</v>
      </c>
      <c r="AD58" s="73">
        <v>92.524581785883598</v>
      </c>
      <c r="AE58" s="593">
        <v>8.7144012328826004E-3</v>
      </c>
      <c r="AF58" s="593">
        <v>5.3947134646947798E-3</v>
      </c>
      <c r="AL58" s="593"/>
    </row>
    <row r="59" spans="1:38" ht="14.45" customHeight="1" x14ac:dyDescent="0.25">
      <c r="A59" t="s">
        <v>2085</v>
      </c>
      <c r="B59" t="s">
        <v>2116</v>
      </c>
      <c r="C59" t="s">
        <v>2083</v>
      </c>
      <c r="D59" t="s">
        <v>2036</v>
      </c>
      <c r="E59" t="s">
        <v>95</v>
      </c>
      <c r="F59" t="s">
        <v>2126</v>
      </c>
      <c r="G59">
        <v>2023</v>
      </c>
      <c r="H59" t="s">
        <v>2647</v>
      </c>
      <c r="I59" s="786">
        <f>0.5*$AF$41+0.5*$AF$54</f>
        <v>9.5434261053573596E-5</v>
      </c>
      <c r="J59" s="787"/>
      <c r="K59" s="52" t="s">
        <v>2653</v>
      </c>
      <c r="L59" s="377">
        <v>1</v>
      </c>
      <c r="M59" s="377">
        <v>1</v>
      </c>
      <c r="N59" s="377">
        <v>1</v>
      </c>
      <c r="O59" s="377">
        <v>3</v>
      </c>
      <c r="P59" s="377">
        <v>1</v>
      </c>
      <c r="AB59" s="1087" t="s">
        <v>2645</v>
      </c>
      <c r="AC59" s="1087"/>
      <c r="AD59" s="1087"/>
      <c r="AE59" s="1087"/>
      <c r="AF59" s="1087"/>
    </row>
    <row r="60" spans="1:38" x14ac:dyDescent="0.25">
      <c r="A60" t="s">
        <v>2086</v>
      </c>
      <c r="B60" t="s">
        <v>2117</v>
      </c>
      <c r="C60" t="s">
        <v>2027</v>
      </c>
      <c r="D60" t="s">
        <v>2036</v>
      </c>
      <c r="E60" t="s">
        <v>95</v>
      </c>
      <c r="F60" t="s">
        <v>4089</v>
      </c>
      <c r="G60">
        <v>2024</v>
      </c>
      <c r="H60" t="s">
        <v>2647</v>
      </c>
      <c r="I60" s="786">
        <f>($Y$20)-I49</f>
        <v>3.5043277414705761E-3</v>
      </c>
      <c r="J60" s="787"/>
      <c r="K60" s="52" t="s">
        <v>2648</v>
      </c>
      <c r="L60" s="377">
        <v>1</v>
      </c>
      <c r="M60" s="377">
        <v>1</v>
      </c>
      <c r="N60" s="377">
        <v>1</v>
      </c>
      <c r="O60" s="377">
        <v>2</v>
      </c>
      <c r="P60" s="377">
        <v>1</v>
      </c>
      <c r="AB60" s="1087"/>
      <c r="AC60" s="1087"/>
      <c r="AD60" s="1087"/>
      <c r="AE60" s="1087"/>
      <c r="AF60" s="1087"/>
    </row>
    <row r="61" spans="1:38" x14ac:dyDescent="0.25">
      <c r="A61" t="s">
        <v>2087</v>
      </c>
      <c r="B61" t="s">
        <v>2118</v>
      </c>
      <c r="C61" t="s">
        <v>2028</v>
      </c>
      <c r="D61" t="s">
        <v>2036</v>
      </c>
      <c r="E61" t="s">
        <v>95</v>
      </c>
      <c r="F61" t="s">
        <v>4201</v>
      </c>
      <c r="G61">
        <v>2022</v>
      </c>
      <c r="H61" t="s">
        <v>2647</v>
      </c>
      <c r="I61" s="786">
        <f>$X$54</f>
        <v>4.0139114276615019E-3</v>
      </c>
      <c r="J61" s="787"/>
      <c r="K61" s="52" t="s">
        <v>4234</v>
      </c>
      <c r="L61" s="377">
        <v>1</v>
      </c>
      <c r="M61" s="377">
        <v>1</v>
      </c>
      <c r="N61" s="377">
        <v>1</v>
      </c>
      <c r="O61" s="377">
        <v>2</v>
      </c>
      <c r="P61" s="377">
        <v>1</v>
      </c>
      <c r="AB61" s="1087"/>
      <c r="AC61" s="1087"/>
      <c r="AD61" s="1087"/>
      <c r="AE61" s="1087"/>
      <c r="AF61" s="1087"/>
    </row>
    <row r="62" spans="1:38" x14ac:dyDescent="0.25">
      <c r="A62" t="s">
        <v>2088</v>
      </c>
      <c r="B62" t="s">
        <v>2119</v>
      </c>
      <c r="C62" t="s">
        <v>2055</v>
      </c>
      <c r="D62" t="s">
        <v>2036</v>
      </c>
      <c r="E62" t="s">
        <v>95</v>
      </c>
      <c r="F62" t="s">
        <v>4089</v>
      </c>
      <c r="G62">
        <v>2024</v>
      </c>
      <c r="H62" t="s">
        <v>2647</v>
      </c>
      <c r="I62" s="786">
        <f>($Y$22)-I51</f>
        <v>1.5629899999999959E-3</v>
      </c>
      <c r="J62" s="787"/>
      <c r="K62" s="52" t="s">
        <v>2648</v>
      </c>
      <c r="L62" s="377">
        <v>1</v>
      </c>
      <c r="M62" s="377">
        <v>1</v>
      </c>
      <c r="N62" s="377">
        <v>1</v>
      </c>
      <c r="O62" s="377">
        <v>2</v>
      </c>
      <c r="P62" s="377">
        <v>1</v>
      </c>
    </row>
    <row r="63" spans="1:38" x14ac:dyDescent="0.25">
      <c r="A63" t="s">
        <v>2089</v>
      </c>
      <c r="B63" t="s">
        <v>2120</v>
      </c>
      <c r="C63" t="s">
        <v>2060</v>
      </c>
      <c r="D63" t="s">
        <v>2036</v>
      </c>
      <c r="E63" t="s">
        <v>95</v>
      </c>
      <c r="F63" t="s">
        <v>4089</v>
      </c>
      <c r="G63">
        <v>2024</v>
      </c>
      <c r="H63" t="s">
        <v>2647</v>
      </c>
      <c r="I63" s="786"/>
      <c r="J63" s="787">
        <f>($Y$23)-J52</f>
        <v>9.7271799999999525E-4</v>
      </c>
      <c r="K63" s="52" t="s">
        <v>2648</v>
      </c>
      <c r="L63" s="377">
        <v>1</v>
      </c>
      <c r="M63" s="377">
        <v>1</v>
      </c>
      <c r="N63" s="377">
        <v>1</v>
      </c>
      <c r="O63" s="377">
        <v>2</v>
      </c>
      <c r="P63" s="377">
        <v>1</v>
      </c>
    </row>
    <row r="64" spans="1:38" x14ac:dyDescent="0.25">
      <c r="A64" t="s">
        <v>4085</v>
      </c>
      <c r="B64" t="s">
        <v>4082</v>
      </c>
      <c r="C64" t="s">
        <v>4083</v>
      </c>
      <c r="D64" t="s">
        <v>2036</v>
      </c>
      <c r="E64" t="s">
        <v>95</v>
      </c>
      <c r="F64" t="s">
        <v>4089</v>
      </c>
      <c r="G64">
        <v>2024</v>
      </c>
      <c r="H64" t="s">
        <v>2647</v>
      </c>
      <c r="I64" s="786">
        <f>($Y$27)-I53</f>
        <v>9.727179999999959E-4</v>
      </c>
      <c r="J64" s="787"/>
      <c r="K64" s="52" t="s">
        <v>2889</v>
      </c>
      <c r="L64" s="377">
        <v>1</v>
      </c>
      <c r="M64" s="377">
        <v>1</v>
      </c>
      <c r="N64" s="377">
        <v>1</v>
      </c>
      <c r="O64" s="377">
        <v>2</v>
      </c>
      <c r="P64" s="377">
        <v>1</v>
      </c>
    </row>
    <row r="65" spans="1:38" x14ac:dyDescent="0.25">
      <c r="A65" t="s">
        <v>2090</v>
      </c>
      <c r="B65" t="s">
        <v>2121</v>
      </c>
      <c r="C65" t="s">
        <v>2058</v>
      </c>
      <c r="D65" t="s">
        <v>2036</v>
      </c>
      <c r="E65" t="s">
        <v>95</v>
      </c>
      <c r="F65" t="s">
        <v>2126</v>
      </c>
      <c r="G65">
        <v>2023</v>
      </c>
      <c r="H65" t="s">
        <v>2647</v>
      </c>
      <c r="I65" s="786">
        <f>$AF$52</f>
        <v>3.7833037262720204E-3</v>
      </c>
      <c r="J65" s="787"/>
      <c r="K65" s="52" t="s">
        <v>2654</v>
      </c>
      <c r="L65" s="377">
        <v>1</v>
      </c>
      <c r="M65" s="377">
        <v>1</v>
      </c>
      <c r="N65" s="377">
        <v>1</v>
      </c>
      <c r="O65" s="377">
        <v>3</v>
      </c>
      <c r="P65" s="377">
        <v>1</v>
      </c>
      <c r="U65" s="593"/>
      <c r="V65" s="593"/>
    </row>
    <row r="66" spans="1:38" x14ac:dyDescent="0.25">
      <c r="A66" t="s">
        <v>2091</v>
      </c>
      <c r="B66" t="s">
        <v>2122</v>
      </c>
      <c r="C66" t="s">
        <v>2059</v>
      </c>
      <c r="D66" t="s">
        <v>2036</v>
      </c>
      <c r="E66" t="s">
        <v>95</v>
      </c>
      <c r="F66" t="s">
        <v>2126</v>
      </c>
      <c r="G66">
        <v>2023</v>
      </c>
      <c r="H66" t="s">
        <v>2647</v>
      </c>
      <c r="I66" s="786">
        <f>$AF$48</f>
        <v>3.7464438356699901E-3</v>
      </c>
      <c r="J66" s="787"/>
      <c r="K66" s="52" t="s">
        <v>2655</v>
      </c>
      <c r="L66" s="377">
        <v>1</v>
      </c>
      <c r="M66" s="377">
        <v>1</v>
      </c>
      <c r="N66" s="377">
        <v>1</v>
      </c>
      <c r="O66" s="377">
        <v>3</v>
      </c>
      <c r="P66" s="377">
        <v>1</v>
      </c>
      <c r="V66" s="593"/>
    </row>
    <row r="67" spans="1:38" x14ac:dyDescent="0.25">
      <c r="A67" t="s">
        <v>2092</v>
      </c>
      <c r="B67" t="s">
        <v>2123</v>
      </c>
      <c r="C67" t="s">
        <v>2030</v>
      </c>
      <c r="D67" t="s">
        <v>2036</v>
      </c>
      <c r="E67" t="s">
        <v>95</v>
      </c>
      <c r="F67" t="s">
        <v>4089</v>
      </c>
      <c r="G67">
        <v>2024</v>
      </c>
      <c r="H67" t="s">
        <v>2647</v>
      </c>
      <c r="I67" s="786">
        <f>($Y$24)-I56</f>
        <v>1.9067139762607714E-3</v>
      </c>
      <c r="J67" s="787"/>
      <c r="K67" s="52" t="s">
        <v>2648</v>
      </c>
      <c r="L67" s="377">
        <v>1</v>
      </c>
      <c r="M67" s="377">
        <v>1</v>
      </c>
      <c r="N67" s="377">
        <v>1</v>
      </c>
      <c r="O67" s="377">
        <v>2</v>
      </c>
      <c r="P67" s="377">
        <v>1</v>
      </c>
      <c r="V67" s="593"/>
      <c r="AE67" s="593"/>
      <c r="AF67" s="593"/>
    </row>
    <row r="68" spans="1:38" x14ac:dyDescent="0.25">
      <c r="A68" t="s">
        <v>2093</v>
      </c>
      <c r="B68" t="s">
        <v>2124</v>
      </c>
      <c r="C68" t="s">
        <v>2031</v>
      </c>
      <c r="D68" t="s">
        <v>2036</v>
      </c>
      <c r="E68" t="s">
        <v>95</v>
      </c>
      <c r="F68" t="s">
        <v>2126</v>
      </c>
      <c r="G68">
        <v>2023</v>
      </c>
      <c r="H68" t="s">
        <v>2647</v>
      </c>
      <c r="I68" s="786">
        <f>$AF$56</f>
        <v>6.4396722424694296E-5</v>
      </c>
      <c r="J68" s="787"/>
      <c r="K68" s="52" t="s">
        <v>2656</v>
      </c>
      <c r="L68" s="377">
        <v>1</v>
      </c>
      <c r="M68" s="377">
        <v>1</v>
      </c>
      <c r="N68" s="377">
        <v>1</v>
      </c>
      <c r="O68" s="377">
        <v>3</v>
      </c>
      <c r="P68" s="377">
        <v>2</v>
      </c>
      <c r="V68" s="593"/>
      <c r="AE68" s="593"/>
      <c r="AF68" s="593"/>
    </row>
    <row r="69" spans="1:38" x14ac:dyDescent="0.25">
      <c r="A69" t="s">
        <v>2067</v>
      </c>
      <c r="B69" t="s">
        <v>436</v>
      </c>
      <c r="C69" t="s">
        <v>2115</v>
      </c>
      <c r="D69" t="s">
        <v>2034</v>
      </c>
      <c r="E69" t="s">
        <v>95</v>
      </c>
      <c r="F69" t="s">
        <v>4089</v>
      </c>
      <c r="G69">
        <v>2024</v>
      </c>
      <c r="H69" t="s">
        <v>2127</v>
      </c>
      <c r="I69" s="786">
        <f t="shared" ref="I69:I90" si="0">I3+$U$39*I25+$U$40*I47</f>
        <v>20.26855283503415</v>
      </c>
      <c r="J69" s="787"/>
      <c r="K69" s="52" t="s">
        <v>2660</v>
      </c>
      <c r="L69" s="377">
        <v>1</v>
      </c>
      <c r="M69" s="377">
        <v>1</v>
      </c>
      <c r="N69" s="377">
        <v>1</v>
      </c>
      <c r="O69" s="377">
        <v>2</v>
      </c>
      <c r="P69" s="377">
        <v>1</v>
      </c>
      <c r="V69" s="593"/>
      <c r="AE69" s="593"/>
      <c r="AF69" s="593"/>
    </row>
    <row r="70" spans="1:38" x14ac:dyDescent="0.25">
      <c r="A70" t="s">
        <v>2082</v>
      </c>
      <c r="B70" t="s">
        <v>436</v>
      </c>
      <c r="C70" t="s">
        <v>2116</v>
      </c>
      <c r="D70" t="s">
        <v>2034</v>
      </c>
      <c r="E70" t="s">
        <v>95</v>
      </c>
      <c r="F70" t="s">
        <v>2126</v>
      </c>
      <c r="G70">
        <v>2023</v>
      </c>
      <c r="H70" t="s">
        <v>2127</v>
      </c>
      <c r="I70" s="786">
        <f t="shared" si="0"/>
        <v>20.545200903360019</v>
      </c>
      <c r="J70" s="787"/>
      <c r="K70" s="52" t="s">
        <v>4246</v>
      </c>
      <c r="L70" s="377">
        <v>1</v>
      </c>
      <c r="M70" s="377">
        <v>1</v>
      </c>
      <c r="N70" s="377">
        <v>1</v>
      </c>
      <c r="O70" s="377">
        <v>3</v>
      </c>
      <c r="P70" s="377">
        <v>1</v>
      </c>
      <c r="AE70" s="593"/>
      <c r="AF70" s="593"/>
    </row>
    <row r="71" spans="1:38" x14ac:dyDescent="0.25">
      <c r="A71" t="s">
        <v>2068</v>
      </c>
      <c r="B71" t="s">
        <v>436</v>
      </c>
      <c r="C71" t="s">
        <v>2117</v>
      </c>
      <c r="D71" t="s">
        <v>2034</v>
      </c>
      <c r="E71" t="s">
        <v>95</v>
      </c>
      <c r="F71" t="s">
        <v>4089</v>
      </c>
      <c r="G71">
        <v>2024</v>
      </c>
      <c r="H71" t="s">
        <v>2127</v>
      </c>
      <c r="I71" s="786">
        <f t="shared" si="0"/>
        <v>22.075886699632967</v>
      </c>
      <c r="J71" s="787"/>
      <c r="K71" s="52" t="s">
        <v>2661</v>
      </c>
      <c r="L71" s="377">
        <v>1</v>
      </c>
      <c r="M71" s="377">
        <v>1</v>
      </c>
      <c r="N71" s="377">
        <v>1</v>
      </c>
      <c r="O71" s="377">
        <v>2</v>
      </c>
      <c r="P71" s="377">
        <v>1</v>
      </c>
      <c r="AK71" s="593"/>
    </row>
    <row r="72" spans="1:38" x14ac:dyDescent="0.25">
      <c r="A72" t="s">
        <v>2077</v>
      </c>
      <c r="B72" t="s">
        <v>436</v>
      </c>
      <c r="C72" t="s">
        <v>2118</v>
      </c>
      <c r="D72" t="s">
        <v>2034</v>
      </c>
      <c r="E72" t="s">
        <v>95</v>
      </c>
      <c r="F72" t="s">
        <v>1861</v>
      </c>
      <c r="G72">
        <v>2020</v>
      </c>
      <c r="H72" t="s">
        <v>2127</v>
      </c>
      <c r="I72" s="786">
        <f>(I71+I82)*0.5 - I83</f>
        <v>44.623827246932677</v>
      </c>
      <c r="J72" s="787"/>
      <c r="K72" s="52" t="s">
        <v>4302</v>
      </c>
      <c r="L72" s="377">
        <v>1</v>
      </c>
      <c r="M72" s="377">
        <v>1</v>
      </c>
      <c r="N72" s="377">
        <v>1</v>
      </c>
      <c r="O72" s="377">
        <v>1</v>
      </c>
      <c r="P72" s="377">
        <v>1</v>
      </c>
      <c r="AL72" s="593"/>
    </row>
    <row r="73" spans="1:38" x14ac:dyDescent="0.25">
      <c r="A73" t="s">
        <v>2069</v>
      </c>
      <c r="B73" t="s">
        <v>436</v>
      </c>
      <c r="C73" t="s">
        <v>2119</v>
      </c>
      <c r="D73" t="s">
        <v>2034</v>
      </c>
      <c r="E73" t="s">
        <v>95</v>
      </c>
      <c r="F73" t="s">
        <v>4089</v>
      </c>
      <c r="G73">
        <v>2024</v>
      </c>
      <c r="H73" t="s">
        <v>2127</v>
      </c>
      <c r="I73" s="786">
        <f t="shared" si="0"/>
        <v>13.483538916884822</v>
      </c>
      <c r="J73" s="787"/>
      <c r="K73" s="52" t="s">
        <v>2661</v>
      </c>
      <c r="L73" s="377">
        <v>1</v>
      </c>
      <c r="M73" s="377">
        <v>1</v>
      </c>
      <c r="N73" s="377">
        <v>1</v>
      </c>
      <c r="O73" s="377">
        <v>2</v>
      </c>
      <c r="P73" s="377">
        <v>1</v>
      </c>
      <c r="AE73" s="593"/>
      <c r="AF73" s="593"/>
    </row>
    <row r="74" spans="1:38" x14ac:dyDescent="0.25">
      <c r="A74" t="s">
        <v>2070</v>
      </c>
      <c r="B74" t="s">
        <v>436</v>
      </c>
      <c r="C74" t="s">
        <v>2120</v>
      </c>
      <c r="D74" t="s">
        <v>2034</v>
      </c>
      <c r="E74" t="s">
        <v>95</v>
      </c>
      <c r="F74" t="s">
        <v>4089</v>
      </c>
      <c r="G74">
        <v>2024</v>
      </c>
      <c r="H74" t="s">
        <v>2127</v>
      </c>
      <c r="I74" s="786"/>
      <c r="J74" s="787">
        <f>J8+$U$39*J30+$U$40*J52</f>
        <v>21.239639008438264</v>
      </c>
      <c r="K74" s="52" t="s">
        <v>2661</v>
      </c>
      <c r="L74" s="377">
        <v>1</v>
      </c>
      <c r="M74" s="377">
        <v>1</v>
      </c>
      <c r="N74" s="377">
        <v>1</v>
      </c>
      <c r="O74" s="377">
        <v>2</v>
      </c>
      <c r="P74" s="377">
        <v>1</v>
      </c>
    </row>
    <row r="75" spans="1:38" x14ac:dyDescent="0.25">
      <c r="A75" t="s">
        <v>4084</v>
      </c>
      <c r="B75" t="s">
        <v>2897</v>
      </c>
      <c r="C75" t="s">
        <v>4082</v>
      </c>
      <c r="D75" t="s">
        <v>2034</v>
      </c>
      <c r="E75" t="s">
        <v>95</v>
      </c>
      <c r="F75" t="s">
        <v>4089</v>
      </c>
      <c r="G75">
        <v>2024</v>
      </c>
      <c r="H75" t="s">
        <v>2127</v>
      </c>
      <c r="I75" s="786">
        <f t="shared" si="0"/>
        <v>10.259631787384821</v>
      </c>
      <c r="J75" s="787"/>
      <c r="K75" s="52" t="s">
        <v>2661</v>
      </c>
      <c r="L75" s="377">
        <v>1</v>
      </c>
      <c r="M75" s="377">
        <v>1</v>
      </c>
      <c r="N75" s="377">
        <v>1</v>
      </c>
      <c r="O75" s="377">
        <v>2</v>
      </c>
      <c r="P75" s="377">
        <v>1</v>
      </c>
      <c r="AL75" s="593"/>
    </row>
    <row r="76" spans="1:38" x14ac:dyDescent="0.25">
      <c r="A76" t="s">
        <v>2071</v>
      </c>
      <c r="B76" t="s">
        <v>436</v>
      </c>
      <c r="C76" t="s">
        <v>2121</v>
      </c>
      <c r="D76" t="s">
        <v>2034</v>
      </c>
      <c r="E76" t="s">
        <v>95</v>
      </c>
      <c r="F76" t="s">
        <v>2126</v>
      </c>
      <c r="G76">
        <v>2023</v>
      </c>
      <c r="H76" t="s">
        <v>2127</v>
      </c>
      <c r="I76" s="786">
        <f t="shared" si="0"/>
        <v>12.594232425902193</v>
      </c>
      <c r="J76" s="787"/>
      <c r="K76" s="52" t="s">
        <v>2662</v>
      </c>
      <c r="L76" s="377">
        <v>1</v>
      </c>
      <c r="M76" s="377">
        <v>1</v>
      </c>
      <c r="N76" s="377">
        <v>1</v>
      </c>
      <c r="O76" s="377">
        <v>3</v>
      </c>
      <c r="P76" s="377">
        <v>1</v>
      </c>
      <c r="AL76" s="593"/>
    </row>
    <row r="77" spans="1:38" x14ac:dyDescent="0.25">
      <c r="A77" t="s">
        <v>2072</v>
      </c>
      <c r="B77" t="s">
        <v>436</v>
      </c>
      <c r="C77" t="s">
        <v>2122</v>
      </c>
      <c r="D77" t="s">
        <v>2034</v>
      </c>
      <c r="E77" t="s">
        <v>95</v>
      </c>
      <c r="F77" t="s">
        <v>2126</v>
      </c>
      <c r="G77">
        <v>2023</v>
      </c>
      <c r="H77" t="s">
        <v>2127</v>
      </c>
      <c r="I77" s="786">
        <f t="shared" si="0"/>
        <v>12.99254022969941</v>
      </c>
      <c r="J77" s="787"/>
      <c r="K77" s="52" t="s">
        <v>2663</v>
      </c>
      <c r="L77" s="377">
        <v>1</v>
      </c>
      <c r="M77" s="377">
        <v>1</v>
      </c>
      <c r="N77" s="377">
        <v>1</v>
      </c>
      <c r="O77" s="377">
        <v>3</v>
      </c>
      <c r="P77" s="377">
        <v>1</v>
      </c>
      <c r="AL77" s="593"/>
    </row>
    <row r="78" spans="1:38" x14ac:dyDescent="0.25">
      <c r="A78" t="s">
        <v>2073</v>
      </c>
      <c r="B78" t="s">
        <v>436</v>
      </c>
      <c r="C78" t="s">
        <v>2123</v>
      </c>
      <c r="D78" t="s">
        <v>2034</v>
      </c>
      <c r="E78" t="s">
        <v>95</v>
      </c>
      <c r="F78" t="s">
        <v>4089</v>
      </c>
      <c r="G78">
        <v>2024</v>
      </c>
      <c r="H78" t="s">
        <v>2127</v>
      </c>
      <c r="I78" s="786">
        <f t="shared" si="0"/>
        <v>15.133476125808887</v>
      </c>
      <c r="J78" s="787"/>
      <c r="K78" s="52" t="s">
        <v>2661</v>
      </c>
      <c r="L78" s="377">
        <v>1</v>
      </c>
      <c r="M78" s="377">
        <v>1</v>
      </c>
      <c r="N78" s="377">
        <v>1</v>
      </c>
      <c r="O78" s="377">
        <v>2</v>
      </c>
      <c r="P78" s="377">
        <v>1</v>
      </c>
    </row>
    <row r="79" spans="1:38" x14ac:dyDescent="0.25">
      <c r="A79" t="s">
        <v>2078</v>
      </c>
      <c r="B79" t="s">
        <v>436</v>
      </c>
      <c r="C79" t="s">
        <v>2124</v>
      </c>
      <c r="D79" t="s">
        <v>2034</v>
      </c>
      <c r="E79" t="s">
        <v>95</v>
      </c>
      <c r="F79" t="s">
        <v>2126</v>
      </c>
      <c r="G79">
        <v>2023</v>
      </c>
      <c r="H79" t="s">
        <v>2127</v>
      </c>
      <c r="I79" s="786">
        <f t="shared" si="0"/>
        <v>30.164231768659789</v>
      </c>
      <c r="J79" s="787"/>
      <c r="K79" s="52" t="s">
        <v>4205</v>
      </c>
      <c r="L79" s="377">
        <v>1</v>
      </c>
      <c r="M79" s="377">
        <v>1</v>
      </c>
      <c r="N79" s="377">
        <v>1</v>
      </c>
      <c r="O79" s="377">
        <v>3</v>
      </c>
      <c r="P79" s="377">
        <v>2</v>
      </c>
    </row>
    <row r="80" spans="1:38" x14ac:dyDescent="0.25">
      <c r="A80" t="s">
        <v>2084</v>
      </c>
      <c r="B80" t="s">
        <v>2115</v>
      </c>
      <c r="C80" t="s">
        <v>2029</v>
      </c>
      <c r="D80" t="s">
        <v>2034</v>
      </c>
      <c r="E80" t="s">
        <v>95</v>
      </c>
      <c r="F80" t="s">
        <v>4089</v>
      </c>
      <c r="G80">
        <v>2024</v>
      </c>
      <c r="H80" t="s">
        <v>2127</v>
      </c>
      <c r="I80" s="786">
        <f t="shared" si="0"/>
        <v>71.436356445911414</v>
      </c>
      <c r="J80" s="787"/>
      <c r="K80" s="52" t="s">
        <v>2664</v>
      </c>
      <c r="L80" s="377">
        <v>1</v>
      </c>
      <c r="M80" s="377">
        <v>1</v>
      </c>
      <c r="N80" s="377">
        <v>1</v>
      </c>
      <c r="O80" s="377">
        <v>2</v>
      </c>
      <c r="P80" s="377">
        <v>1</v>
      </c>
      <c r="AE80" s="593"/>
      <c r="AF80" s="593"/>
    </row>
    <row r="81" spans="1:38" x14ac:dyDescent="0.25">
      <c r="A81" t="s">
        <v>2085</v>
      </c>
      <c r="B81" t="s">
        <v>2116</v>
      </c>
      <c r="C81" t="s">
        <v>2083</v>
      </c>
      <c r="D81" t="s">
        <v>2034</v>
      </c>
      <c r="E81" t="s">
        <v>95</v>
      </c>
      <c r="F81" t="s">
        <v>2126</v>
      </c>
      <c r="G81">
        <v>2023</v>
      </c>
      <c r="H81" t="s">
        <v>2127</v>
      </c>
      <c r="I81" s="786">
        <f t="shared" si="0"/>
        <v>0.5029803789889935</v>
      </c>
      <c r="J81" s="787"/>
      <c r="K81" s="52" t="s">
        <v>4238</v>
      </c>
      <c r="L81" s="377">
        <v>1</v>
      </c>
      <c r="M81" s="377">
        <v>1</v>
      </c>
      <c r="N81" s="377">
        <v>1</v>
      </c>
      <c r="O81" s="377">
        <v>3</v>
      </c>
      <c r="P81" s="377">
        <v>1</v>
      </c>
    </row>
    <row r="82" spans="1:38" x14ac:dyDescent="0.25">
      <c r="A82" t="s">
        <v>2086</v>
      </c>
      <c r="B82" t="s">
        <v>2117</v>
      </c>
      <c r="C82" t="s">
        <v>2027</v>
      </c>
      <c r="D82" t="s">
        <v>2034</v>
      </c>
      <c r="E82" t="s">
        <v>95</v>
      </c>
      <c r="F82" t="s">
        <v>4089</v>
      </c>
      <c r="G82">
        <v>2024</v>
      </c>
      <c r="H82" t="s">
        <v>2127</v>
      </c>
      <c r="I82" s="786">
        <f t="shared" si="0"/>
        <v>70.466251107226043</v>
      </c>
      <c r="J82" s="787"/>
      <c r="K82" s="52" t="s">
        <v>2664</v>
      </c>
      <c r="L82" s="377">
        <v>1</v>
      </c>
      <c r="M82" s="377">
        <v>1</v>
      </c>
      <c r="N82" s="377">
        <v>1</v>
      </c>
      <c r="O82" s="377">
        <v>2</v>
      </c>
      <c r="P82" s="377">
        <v>1</v>
      </c>
    </row>
    <row r="83" spans="1:38" x14ac:dyDescent="0.25">
      <c r="A83" t="s">
        <v>2087</v>
      </c>
      <c r="B83" t="s">
        <v>2118</v>
      </c>
      <c r="C83" t="s">
        <v>2028</v>
      </c>
      <c r="D83" t="s">
        <v>2034</v>
      </c>
      <c r="E83" t="s">
        <v>95</v>
      </c>
      <c r="F83" t="s">
        <v>2126</v>
      </c>
      <c r="G83">
        <v>2023</v>
      </c>
      <c r="H83" t="s">
        <v>2127</v>
      </c>
      <c r="I83" s="786">
        <f t="shared" si="0"/>
        <v>1.6472416564968324</v>
      </c>
      <c r="J83" s="787"/>
      <c r="K83" s="52" t="s">
        <v>4239</v>
      </c>
      <c r="L83" s="377">
        <v>1</v>
      </c>
      <c r="M83" s="377">
        <v>1</v>
      </c>
      <c r="N83" s="377">
        <v>1</v>
      </c>
      <c r="O83" s="377">
        <v>3</v>
      </c>
      <c r="P83" s="377">
        <v>1</v>
      </c>
    </row>
    <row r="84" spans="1:38" x14ac:dyDescent="0.25">
      <c r="A84" t="s">
        <v>2088</v>
      </c>
      <c r="B84" t="s">
        <v>2119</v>
      </c>
      <c r="C84" t="s">
        <v>2055</v>
      </c>
      <c r="D84" t="s">
        <v>2034</v>
      </c>
      <c r="E84" t="s">
        <v>95</v>
      </c>
      <c r="F84" t="s">
        <v>4089</v>
      </c>
      <c r="G84">
        <v>2024</v>
      </c>
      <c r="H84" t="s">
        <v>2127</v>
      </c>
      <c r="I84" s="786">
        <f t="shared" si="0"/>
        <v>56.907831669999887</v>
      </c>
      <c r="J84" s="787"/>
      <c r="K84" s="52" t="s">
        <v>2664</v>
      </c>
      <c r="L84" s="377">
        <v>1</v>
      </c>
      <c r="M84" s="377">
        <v>1</v>
      </c>
      <c r="N84" s="377">
        <v>1</v>
      </c>
      <c r="O84" s="377">
        <v>2</v>
      </c>
      <c r="P84" s="377">
        <v>1</v>
      </c>
      <c r="AD84" s="593"/>
      <c r="AE84" s="593"/>
      <c r="AL84" s="593"/>
    </row>
    <row r="85" spans="1:38" x14ac:dyDescent="0.25">
      <c r="A85" t="s">
        <v>2089</v>
      </c>
      <c r="B85" t="s">
        <v>2120</v>
      </c>
      <c r="C85" t="s">
        <v>2060</v>
      </c>
      <c r="D85" t="s">
        <v>2034</v>
      </c>
      <c r="E85" t="s">
        <v>95</v>
      </c>
      <c r="F85" t="s">
        <v>4089</v>
      </c>
      <c r="G85">
        <v>2024</v>
      </c>
      <c r="H85" t="s">
        <v>2127</v>
      </c>
      <c r="I85" s="786"/>
      <c r="J85" s="787">
        <f>J19+$U$39*J41+$U$40*J63</f>
        <v>50.067685626000006</v>
      </c>
      <c r="K85" s="52" t="s">
        <v>2664</v>
      </c>
      <c r="L85" s="377">
        <v>1</v>
      </c>
      <c r="M85" s="377">
        <v>1</v>
      </c>
      <c r="N85" s="377">
        <v>1</v>
      </c>
      <c r="O85" s="377">
        <v>2</v>
      </c>
      <c r="P85" s="377">
        <v>1</v>
      </c>
      <c r="AD85" s="593"/>
      <c r="AE85" s="593"/>
    </row>
    <row r="86" spans="1:38" x14ac:dyDescent="0.25">
      <c r="A86" t="s">
        <v>4085</v>
      </c>
      <c r="B86" t="s">
        <v>4082</v>
      </c>
      <c r="C86" t="s">
        <v>4083</v>
      </c>
      <c r="D86" t="s">
        <v>2034</v>
      </c>
      <c r="E86" t="s">
        <v>95</v>
      </c>
      <c r="F86" t="s">
        <v>4089</v>
      </c>
      <c r="G86">
        <v>2024</v>
      </c>
      <c r="H86" t="s">
        <v>2127</v>
      </c>
      <c r="I86" s="786">
        <f t="shared" si="0"/>
        <v>50.067685625999893</v>
      </c>
      <c r="J86" s="787"/>
      <c r="K86" s="52" t="s">
        <v>2890</v>
      </c>
      <c r="L86" s="377">
        <v>1</v>
      </c>
      <c r="M86" s="377">
        <v>1</v>
      </c>
      <c r="N86" s="377">
        <v>1</v>
      </c>
      <c r="O86" s="377">
        <v>2</v>
      </c>
      <c r="P86" s="377">
        <v>1</v>
      </c>
      <c r="AE86" s="593"/>
      <c r="AF86" s="593"/>
    </row>
    <row r="87" spans="1:38" x14ac:dyDescent="0.25">
      <c r="A87" t="s">
        <v>2090</v>
      </c>
      <c r="B87" t="s">
        <v>2121</v>
      </c>
      <c r="C87" t="s">
        <v>2058</v>
      </c>
      <c r="D87" t="s">
        <v>2034</v>
      </c>
      <c r="E87" t="s">
        <v>95</v>
      </c>
      <c r="F87" t="s">
        <v>2126</v>
      </c>
      <c r="G87">
        <v>2023</v>
      </c>
      <c r="H87" t="s">
        <v>2127</v>
      </c>
      <c r="I87" s="786">
        <f t="shared" si="0"/>
        <v>73.182457116975726</v>
      </c>
      <c r="J87" s="787"/>
      <c r="K87" s="52" t="s">
        <v>2665</v>
      </c>
      <c r="L87" s="377">
        <v>1</v>
      </c>
      <c r="M87" s="377">
        <v>1</v>
      </c>
      <c r="N87" s="377">
        <v>1</v>
      </c>
      <c r="O87" s="377">
        <v>3</v>
      </c>
      <c r="P87" s="377">
        <v>1</v>
      </c>
      <c r="AE87" s="593"/>
      <c r="AF87" s="593"/>
    </row>
    <row r="88" spans="1:38" x14ac:dyDescent="0.25">
      <c r="A88" t="s">
        <v>2091</v>
      </c>
      <c r="B88" t="s">
        <v>2122</v>
      </c>
      <c r="C88" t="s">
        <v>2059</v>
      </c>
      <c r="D88" t="s">
        <v>2034</v>
      </c>
      <c r="E88" t="s">
        <v>95</v>
      </c>
      <c r="F88" t="s">
        <v>2126</v>
      </c>
      <c r="G88">
        <v>2023</v>
      </c>
      <c r="H88" t="s">
        <v>2127</v>
      </c>
      <c r="I88" s="786">
        <f t="shared" si="0"/>
        <v>76.090156242252604</v>
      </c>
      <c r="J88" s="787"/>
      <c r="K88" s="52" t="s">
        <v>2666</v>
      </c>
      <c r="L88" s="377">
        <v>1</v>
      </c>
      <c r="M88" s="377">
        <v>1</v>
      </c>
      <c r="N88" s="377">
        <v>1</v>
      </c>
      <c r="O88" s="377">
        <v>3</v>
      </c>
      <c r="P88" s="377">
        <v>1</v>
      </c>
    </row>
    <row r="89" spans="1:38" x14ac:dyDescent="0.25">
      <c r="A89" t="s">
        <v>2092</v>
      </c>
      <c r="B89" t="s">
        <v>2123</v>
      </c>
      <c r="C89" t="s">
        <v>2030</v>
      </c>
      <c r="D89" t="s">
        <v>2034</v>
      </c>
      <c r="E89" t="s">
        <v>95</v>
      </c>
      <c r="F89" t="s">
        <v>4089</v>
      </c>
      <c r="G89">
        <v>2024</v>
      </c>
      <c r="H89" t="s">
        <v>2127</v>
      </c>
      <c r="I89" s="786">
        <f t="shared" si="0"/>
        <v>69.134128389806449</v>
      </c>
      <c r="J89" s="787"/>
      <c r="K89" s="52" t="s">
        <v>2664</v>
      </c>
      <c r="L89" s="377">
        <v>1</v>
      </c>
      <c r="M89" s="377">
        <v>1</v>
      </c>
      <c r="N89" s="377">
        <v>1</v>
      </c>
      <c r="O89" s="377">
        <v>2</v>
      </c>
      <c r="P89" s="377">
        <v>1</v>
      </c>
      <c r="AE89" s="593"/>
      <c r="AF89" s="593"/>
    </row>
    <row r="90" spans="1:38" x14ac:dyDescent="0.25">
      <c r="A90" t="s">
        <v>2093</v>
      </c>
      <c r="B90" t="s">
        <v>2124</v>
      </c>
      <c r="C90" t="s">
        <v>2031</v>
      </c>
      <c r="D90" t="s">
        <v>2034</v>
      </c>
      <c r="E90" t="s">
        <v>95</v>
      </c>
      <c r="F90" t="s">
        <v>2126</v>
      </c>
      <c r="G90">
        <v>2023</v>
      </c>
      <c r="H90" t="s">
        <v>2127</v>
      </c>
      <c r="I90" s="786">
        <f t="shared" si="0"/>
        <v>1.8558450081595179E-2</v>
      </c>
      <c r="J90" s="787"/>
      <c r="K90" s="52" t="s">
        <v>4240</v>
      </c>
      <c r="L90" s="377">
        <v>1</v>
      </c>
      <c r="M90" s="377">
        <v>1</v>
      </c>
      <c r="N90" s="377">
        <v>1</v>
      </c>
      <c r="O90" s="377">
        <v>3</v>
      </c>
      <c r="P90" s="377">
        <v>2</v>
      </c>
      <c r="AK90" s="593"/>
    </row>
    <row r="91" spans="1:38" x14ac:dyDescent="0.25">
      <c r="A91" t="s">
        <v>4693</v>
      </c>
      <c r="B91" t="s">
        <v>4083</v>
      </c>
      <c r="C91" t="s">
        <v>2893</v>
      </c>
      <c r="D91" t="s">
        <v>2035</v>
      </c>
      <c r="E91" t="s">
        <v>95</v>
      </c>
      <c r="F91" t="s">
        <v>4700</v>
      </c>
      <c r="G91">
        <v>2021</v>
      </c>
      <c r="H91" t="s">
        <v>2638</v>
      </c>
      <c r="I91" s="780">
        <f>-0.9*I20/Efficiency!$AC$177</f>
        <v>-60.911160022107474</v>
      </c>
      <c r="K91" s="52" t="s">
        <v>4749</v>
      </c>
      <c r="L91" s="377">
        <v>2</v>
      </c>
      <c r="M91" s="377">
        <v>1</v>
      </c>
      <c r="N91" s="377">
        <v>1</v>
      </c>
      <c r="O91" s="377">
        <v>3</v>
      </c>
      <c r="P91" s="377">
        <v>1</v>
      </c>
    </row>
    <row r="92" spans="1:38" x14ac:dyDescent="0.25">
      <c r="A92" t="s">
        <v>4693</v>
      </c>
      <c r="B92" t="s">
        <v>4083</v>
      </c>
      <c r="C92" t="s">
        <v>2893</v>
      </c>
      <c r="D92" t="s">
        <v>2034</v>
      </c>
      <c r="E92" t="s">
        <v>95</v>
      </c>
      <c r="F92" t="s">
        <v>4700</v>
      </c>
      <c r="G92">
        <v>2021</v>
      </c>
      <c r="H92" t="s">
        <v>2127</v>
      </c>
      <c r="I92" s="780">
        <f>I91 + $U$39*I42/Efficiency!$AC$177 + $U$40*I64/Efficiency!$AC$177</f>
        <v>-60.332880797273276</v>
      </c>
      <c r="K92" s="52" t="s">
        <v>4750</v>
      </c>
      <c r="L92" s="377">
        <v>2</v>
      </c>
      <c r="M92" s="377">
        <v>1</v>
      </c>
      <c r="N92" s="377">
        <v>1</v>
      </c>
      <c r="O92" s="377">
        <v>3</v>
      </c>
      <c r="P92" s="377">
        <v>1</v>
      </c>
    </row>
    <row r="96" spans="1:38" x14ac:dyDescent="0.25">
      <c r="AE96" s="593"/>
      <c r="AF96" s="593"/>
    </row>
    <row r="101" spans="30:32" x14ac:dyDescent="0.25">
      <c r="AD101" s="593"/>
      <c r="AE101" s="593"/>
      <c r="AF101" s="59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8">
        <x14:dataValidation type="list" allowBlank="1" showInputMessage="1" showErrorMessage="1" xr:uid="{DF034D3E-A37E-4554-82C4-3323012B3DE2}">
          <x14:formula1>
            <xm:f>References!$A$2:$A$100</xm:f>
          </x14:formula1>
          <xm:sqref>F3:F1048576</xm:sqref>
        </x14:dataValidation>
        <x14:dataValidation type="list" allowBlank="1" showInputMessage="1" showErrorMessage="1" xr:uid="{AB232655-75BC-42D8-8B68-605A4E0498A1}">
          <x14:formula1>
            <xm:f>Comms!$A$2:$A$101</xm:f>
          </x14:formula1>
          <xm:sqref>B91:C1048576</xm:sqref>
        </x14:dataValidation>
        <x14:dataValidation type="list" allowBlank="1" showInputMessage="1" showErrorMessage="1" xr:uid="{B32F0FF6-B6E0-42E5-86F1-38F499FDC332}">
          <x14:formula1>
            <xm:f>Comms!$A$2:$A$67</xm:f>
          </x14:formula1>
          <xm:sqref>D3:D1048576</xm:sqref>
        </x14:dataValidation>
        <x14:dataValidation type="list" allowBlank="1" showInputMessage="1" showErrorMessage="1" xr:uid="{3FD3AABE-E501-46E1-9F5C-9D5B60D7C7A8}">
          <x14:formula1>
            <xm:f>Comms!$A:$A</xm:f>
          </x14:formula1>
          <xm:sqref>C21:C41 C65:C85 C87:C90 C43:C63 C3:C19</xm:sqref>
        </x14:dataValidation>
        <x14:dataValidation type="list" errorStyle="warning" allowBlank="1" showInputMessage="1" showErrorMessage="1" xr:uid="{47C3CB1B-FC97-4B6F-8ECC-781D77AC9E3B}">
          <x14:formula1>
            <xm:f>Comms!$A:$A</xm:f>
          </x14:formula1>
          <xm:sqref>B3:B90</xm:sqref>
        </x14:dataValidation>
        <x14:dataValidation type="list" allowBlank="1" showInputMessage="1" showErrorMessage="1" xr:uid="{26A24973-5105-4296-A7EE-4CD5571B4BEC}">
          <x14:formula1>
            <xm:f>Techs!A117:$A$985</xm:f>
          </x14:formula1>
          <xm:sqref>A178 A136:A146 A132</xm:sqref>
        </x14:dataValidation>
        <x14:dataValidation type="list" allowBlank="1" showInputMessage="1" showErrorMessage="1" xr:uid="{3489D08C-BDEC-4C55-A596-E07EA5BF4053}">
          <x14:formula1>
            <xm:f>Techs!A158:$A$985</xm:f>
          </x14:formula1>
          <xm:sqref>A179:A1048576 A174:A175</xm:sqref>
        </x14:dataValidation>
        <x14:dataValidation type="list" allowBlank="1" showInputMessage="1" showErrorMessage="1" xr:uid="{48E9A159-02BE-4046-BAA6-CEEABC657C35}">
          <x14:formula1>
            <xm:f>Techs!A119:$A$985</xm:f>
          </x14:formula1>
          <xm:sqref>A147:A163 A165:A173 A133:A135</xm:sqref>
        </x14:dataValidation>
        <x14:dataValidation type="list" allowBlank="1" showInputMessage="1" showErrorMessage="1" xr:uid="{E380181C-FF27-4E9C-A3F9-6E8675DCC756}">
          <x14:formula1>
            <xm:f>Techs!A151:$A$985</xm:f>
          </x14:formula1>
          <xm:sqref>A164</xm:sqref>
        </x14:dataValidation>
        <x14:dataValidation type="list" allowBlank="1" showInputMessage="1" showErrorMessage="1" xr:uid="{67C2FB00-827C-458E-86DF-A61BABBF063D}">
          <x14:formula1>
            <xm:f>Techs!A159:$A$985</xm:f>
          </x14:formula1>
          <xm:sqref>A176:A177</xm:sqref>
        </x14:dataValidation>
        <x14:dataValidation type="list" allowBlank="1" showInputMessage="1" showErrorMessage="1" xr:uid="{562A9F43-4A6A-4B13-9E6B-3E93C87281D5}">
          <x14:formula1>
            <xm:f>Techs!A45:$A$985</xm:f>
          </x14:formula1>
          <xm:sqref>A125:A131 A49:A60 A91:A121</xm:sqref>
        </x14:dataValidation>
        <x14:dataValidation type="list" allowBlank="1" showInputMessage="1" showErrorMessage="1" xr:uid="{86F48C07-B5EA-4A8A-BAF0-162E61A0D698}">
          <x14:formula1>
            <xm:f>Techs!A56:$A$985</xm:f>
          </x14:formula1>
          <xm:sqref>A61:A63</xm:sqref>
        </x14:dataValidation>
        <x14:dataValidation type="list" allowBlank="1" showInputMessage="1" showErrorMessage="1" xr:uid="{E2FB051A-9C94-4BB2-AABA-08E7AE429729}">
          <x14:formula1>
            <xm:f>Techs!A79:$A$985</xm:f>
          </x14:formula1>
          <xm:sqref>A87:A90</xm:sqref>
        </x14:dataValidation>
        <x14:dataValidation type="list" allowBlank="1" showInputMessage="1" showErrorMessage="1" xr:uid="{F8EB3630-1141-4499-A43A-A127C442265F}">
          <x14:formula1>
            <xm:f>Techs!A40:$A$985</xm:f>
          </x14:formula1>
          <xm:sqref>A122:A124 A43:A48</xm:sqref>
        </x14:dataValidation>
        <x14:dataValidation type="list" allowBlank="1" showInputMessage="1" showErrorMessage="1" xr:uid="{6A6C6C99-09ED-4B58-8B1D-482AF61F5D30}">
          <x14:formula1>
            <xm:f>Techs!A59:$A$985</xm:f>
          </x14:formula1>
          <xm:sqref>A65:A73</xm:sqref>
        </x14:dataValidation>
        <x14:dataValidation type="list" allowBlank="1" showInputMessage="1" showErrorMessage="1" xr:uid="{C0EE07D0-4E2D-47BF-BE18-2E298710180D}">
          <x14:formula1>
            <xm:f>Techs!A67:$A$985</xm:f>
          </x14:formula1>
          <xm:sqref>A74:A85</xm:sqref>
        </x14:dataValidation>
        <x14:dataValidation type="list" allowBlank="1" showInputMessage="1" showErrorMessage="1" xr:uid="{745E1B7A-0524-4D5C-AF15-4624C12899F9}">
          <x14:formula1>
            <xm:f>Techs!A19:$A$985</xm:f>
          </x14:formula1>
          <xm:sqref>A21:A41</xm:sqref>
        </x14:dataValidation>
        <x14:dataValidation type="list" allowBlank="1" showInputMessage="1" showErrorMessage="1" xr:uid="{82B5F6B3-183A-4F8D-888C-C4599816F8E3}">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workbookViewId="0">
      <selection activeCell="H13" sqref="H13"/>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14" bestFit="1" customWidth="1"/>
    <col min="8" max="8" width="46.85546875" style="52" customWidth="1"/>
    <col min="9" max="13" width="4.5703125" style="377"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4860</v>
      </c>
      <c r="G1" s="1013" t="s">
        <v>2080</v>
      </c>
      <c r="I1" s="1038" t="s">
        <v>147</v>
      </c>
      <c r="J1" s="1039"/>
      <c r="K1" s="1039"/>
      <c r="L1" s="1039"/>
      <c r="M1" s="1039"/>
      <c r="N1" s="1044" t="s">
        <v>2640</v>
      </c>
      <c r="P1" s="1044" t="s">
        <v>2641</v>
      </c>
      <c r="Q1" s="1015" t="s">
        <v>4848</v>
      </c>
      <c r="S1" s="126"/>
      <c r="T1" s="126"/>
      <c r="U1" s="126"/>
      <c r="V1" s="126"/>
      <c r="W1" s="1016"/>
      <c r="X1" s="1016"/>
      <c r="AE1" s="28" t="s">
        <v>4839</v>
      </c>
      <c r="AL1" s="159" t="s">
        <v>4840</v>
      </c>
    </row>
    <row r="2" spans="1:40" s="106" customFormat="1" ht="105" thickBot="1" x14ac:dyDescent="0.3">
      <c r="A2" s="722" t="s">
        <v>92</v>
      </c>
      <c r="B2" s="722" t="s">
        <v>2081</v>
      </c>
      <c r="C2" s="722" t="s">
        <v>93</v>
      </c>
      <c r="D2" s="722" t="s">
        <v>179</v>
      </c>
      <c r="E2" s="722" t="s">
        <v>143</v>
      </c>
      <c r="F2" s="722" t="s">
        <v>94</v>
      </c>
      <c r="G2" s="732">
        <v>2021</v>
      </c>
      <c r="H2" s="723" t="s">
        <v>91</v>
      </c>
      <c r="I2" s="722" t="s">
        <v>148</v>
      </c>
      <c r="J2" s="722" t="s">
        <v>152</v>
      </c>
      <c r="K2" s="722" t="s">
        <v>149</v>
      </c>
      <c r="L2" s="722" t="s">
        <v>150</v>
      </c>
      <c r="M2" s="722" t="s">
        <v>151</v>
      </c>
      <c r="N2" s="1044"/>
      <c r="O2" s="735"/>
      <c r="P2" s="1044"/>
      <c r="Q2" s="1023"/>
      <c r="R2" s="1024" t="s">
        <v>4825</v>
      </c>
      <c r="S2" s="1024" t="s">
        <v>4826</v>
      </c>
      <c r="T2" s="1024" t="s">
        <v>4827</v>
      </c>
      <c r="U2" s="1024" t="s">
        <v>4828</v>
      </c>
      <c r="V2" s="1024" t="s">
        <v>4832</v>
      </c>
      <c r="W2" s="1024" t="s">
        <v>4833</v>
      </c>
      <c r="X2" s="1024" t="s">
        <v>4834</v>
      </c>
      <c r="Y2" s="1024" t="s">
        <v>4835</v>
      </c>
      <c r="Z2" s="1024" t="s">
        <v>4836</v>
      </c>
      <c r="AA2" s="1024" t="s">
        <v>4837</v>
      </c>
      <c r="AB2" s="1024" t="s">
        <v>4829</v>
      </c>
      <c r="AC2" s="1025" t="s">
        <v>4830</v>
      </c>
      <c r="AE2" s="281" t="s">
        <v>4249</v>
      </c>
      <c r="AF2" s="281">
        <v>2023</v>
      </c>
      <c r="AG2" s="281">
        <v>2025</v>
      </c>
      <c r="AH2" s="281">
        <v>2030</v>
      </c>
      <c r="AI2" s="281">
        <v>2050</v>
      </c>
      <c r="AJ2" s="104" t="s">
        <v>4841</v>
      </c>
      <c r="AL2" s="281" t="s">
        <v>4053</v>
      </c>
      <c r="AM2" s="281" t="s">
        <v>1482</v>
      </c>
      <c r="AN2" s="281" t="s">
        <v>3998</v>
      </c>
    </row>
    <row r="3" spans="1:40" ht="15.75" thickTop="1" x14ac:dyDescent="0.25">
      <c r="A3" s="234" t="s">
        <v>1004</v>
      </c>
      <c r="B3" t="s">
        <v>2035</v>
      </c>
      <c r="C3" t="s">
        <v>95</v>
      </c>
      <c r="D3" t="s">
        <v>2126</v>
      </c>
      <c r="E3">
        <v>2024</v>
      </c>
      <c r="F3" t="s">
        <v>4844</v>
      </c>
      <c r="G3" s="1033">
        <f>$R$9/1000000</f>
        <v>5.6779834882570333</v>
      </c>
      <c r="H3" s="52" t="s">
        <v>4861</v>
      </c>
      <c r="I3" s="377">
        <v>1</v>
      </c>
      <c r="J3" s="377">
        <v>1</v>
      </c>
      <c r="K3" s="377">
        <v>1</v>
      </c>
      <c r="L3" s="377">
        <v>3</v>
      </c>
      <c r="M3" s="377">
        <v>1</v>
      </c>
      <c r="N3" s="1044"/>
      <c r="P3" s="1044"/>
      <c r="Q3" s="54" t="s">
        <v>2348</v>
      </c>
      <c r="R3" s="13">
        <v>93439284.304698601</v>
      </c>
      <c r="S3" s="1017">
        <v>124641427.92448212</v>
      </c>
      <c r="T3" s="1017">
        <v>96566326.862641692</v>
      </c>
      <c r="U3" s="1017">
        <v>128111595.75028835</v>
      </c>
      <c r="V3" s="1017">
        <v>102405377.12694243</v>
      </c>
      <c r="W3" s="1017">
        <v>107316285.14273195</v>
      </c>
      <c r="X3" s="1017">
        <v>110344843.23108594</v>
      </c>
      <c r="Y3" s="1017">
        <v>121587886.11876214</v>
      </c>
      <c r="Z3" s="1017">
        <v>150060647.89670849</v>
      </c>
      <c r="AA3" s="1017">
        <v>185770903.65649018</v>
      </c>
      <c r="AB3" s="1017">
        <v>125266881.58871119</v>
      </c>
      <c r="AC3" s="1018">
        <v>160009722.52155828</v>
      </c>
      <c r="AE3" s="28" t="s">
        <v>17</v>
      </c>
      <c r="AL3" s="28" t="s">
        <v>17</v>
      </c>
    </row>
    <row r="4" spans="1:40" x14ac:dyDescent="0.25">
      <c r="A4" t="s">
        <v>1004</v>
      </c>
      <c r="B4" t="s">
        <v>2037</v>
      </c>
      <c r="C4" t="s">
        <v>95</v>
      </c>
      <c r="D4" t="s">
        <v>2126</v>
      </c>
      <c r="E4">
        <v>2024</v>
      </c>
      <c r="F4" t="s">
        <v>4845</v>
      </c>
      <c r="G4" s="1033">
        <f>$R$11/1000000</f>
        <v>1.3155675455393586E-2</v>
      </c>
      <c r="H4" s="52" t="s">
        <v>4861</v>
      </c>
      <c r="I4" s="377">
        <v>1</v>
      </c>
      <c r="J4" s="377">
        <v>1</v>
      </c>
      <c r="K4" s="377">
        <v>1</v>
      </c>
      <c r="L4" s="377">
        <v>3</v>
      </c>
      <c r="M4" s="377">
        <v>1</v>
      </c>
      <c r="N4" s="1044"/>
      <c r="P4" s="1044"/>
      <c r="Q4" s="54" t="s">
        <v>2349</v>
      </c>
      <c r="R4" s="13">
        <v>83710910.773627639</v>
      </c>
      <c r="S4" s="1017">
        <v>110893286.29222541</v>
      </c>
      <c r="T4" s="1017">
        <v>86719295.299998969</v>
      </c>
      <c r="U4" s="1017">
        <v>113886295.01183809</v>
      </c>
      <c r="V4" s="1017">
        <v>91515314.045748234</v>
      </c>
      <c r="W4" s="1017">
        <v>95904668.730121642</v>
      </c>
      <c r="X4" s="1017">
        <v>98392324.191374063</v>
      </c>
      <c r="Y4" s="1017">
        <v>108440053.28573072</v>
      </c>
      <c r="Z4" s="1017">
        <v>134002052.57218309</v>
      </c>
      <c r="AA4" s="1017">
        <v>166028559.85880458</v>
      </c>
      <c r="AB4" s="1017">
        <v>110879804.89172421</v>
      </c>
      <c r="AC4" s="1018">
        <v>141268734.72696975</v>
      </c>
      <c r="AE4" s="17" t="s">
        <v>4423</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72">
        <v>0.54500397685625612</v>
      </c>
    </row>
    <row r="5" spans="1:40" x14ac:dyDescent="0.25">
      <c r="A5" t="s">
        <v>1004</v>
      </c>
      <c r="B5" t="s">
        <v>2036</v>
      </c>
      <c r="C5" t="s">
        <v>95</v>
      </c>
      <c r="D5" t="s">
        <v>2126</v>
      </c>
      <c r="E5">
        <v>2024</v>
      </c>
      <c r="F5" t="s">
        <v>4846</v>
      </c>
      <c r="G5" s="1033">
        <f>$R$12/1000000</f>
        <v>1.7419041289089867E-4</v>
      </c>
      <c r="H5" s="52" t="s">
        <v>4861</v>
      </c>
      <c r="I5" s="377">
        <v>1</v>
      </c>
      <c r="J5" s="377">
        <v>1</v>
      </c>
      <c r="K5" s="377">
        <v>1</v>
      </c>
      <c r="L5" s="377">
        <v>3</v>
      </c>
      <c r="M5" s="377">
        <v>1</v>
      </c>
      <c r="N5" s="1044"/>
      <c r="P5" s="1044"/>
      <c r="Q5" s="54" t="s">
        <v>2221</v>
      </c>
      <c r="R5" s="13">
        <v>24730081.493885402</v>
      </c>
      <c r="S5" s="1017">
        <v>21897045.349117365</v>
      </c>
      <c r="T5" s="1017">
        <v>26620361.20421752</v>
      </c>
      <c r="U5" s="1017">
        <v>23675870.645731129</v>
      </c>
      <c r="V5" s="1017">
        <v>27574337.90813303</v>
      </c>
      <c r="W5" s="1017">
        <v>28620711.782871302</v>
      </c>
      <c r="X5" s="1017">
        <v>29142855.235881239</v>
      </c>
      <c r="Y5" s="1017">
        <v>31492372.482478023</v>
      </c>
      <c r="Z5" s="1017">
        <v>37299573.043510348</v>
      </c>
      <c r="AA5" s="1017">
        <v>44611349.619896263</v>
      </c>
      <c r="AB5" s="1017">
        <v>30829342.53317127</v>
      </c>
      <c r="AC5" s="1018">
        <v>27398185.558263779</v>
      </c>
      <c r="AE5" s="17" t="s">
        <v>4424</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72">
        <v>0.45499602314374388</v>
      </c>
    </row>
    <row r="6" spans="1:40" x14ac:dyDescent="0.25">
      <c r="A6" t="s">
        <v>1005</v>
      </c>
      <c r="B6" t="s">
        <v>2035</v>
      </c>
      <c r="C6" t="s">
        <v>95</v>
      </c>
      <c r="D6" t="s">
        <v>2126</v>
      </c>
      <c r="E6">
        <v>2024</v>
      </c>
      <c r="F6" t="s">
        <v>4844</v>
      </c>
      <c r="G6" s="1033">
        <f>$R$9/1000000</f>
        <v>5.6779834882570333</v>
      </c>
      <c r="H6" s="52" t="s">
        <v>4861</v>
      </c>
      <c r="I6" s="377">
        <v>1</v>
      </c>
      <c r="J6" s="377">
        <v>1</v>
      </c>
      <c r="K6" s="377">
        <v>1</v>
      </c>
      <c r="L6" s="377">
        <v>3</v>
      </c>
      <c r="M6" s="377">
        <v>1</v>
      </c>
      <c r="N6" s="1044"/>
      <c r="P6" s="1044"/>
      <c r="Q6" s="54" t="s">
        <v>250</v>
      </c>
      <c r="R6" s="13">
        <v>41439862.096830294</v>
      </c>
      <c r="S6" s="1017">
        <v>62358576.969662622</v>
      </c>
      <c r="T6" s="1017">
        <v>43319428.617283121</v>
      </c>
      <c r="U6" s="1017">
        <v>64254759.292909071</v>
      </c>
      <c r="V6" s="1017">
        <v>46549363.871771231</v>
      </c>
      <c r="W6" s="1017">
        <v>49220795.711145177</v>
      </c>
      <c r="X6" s="1017">
        <v>55821173.221199125</v>
      </c>
      <c r="Y6" s="1017">
        <v>61938760.293525413</v>
      </c>
      <c r="Z6" s="1017">
        <v>77652621.686243013</v>
      </c>
      <c r="AA6" s="1017">
        <v>97288689.855735928</v>
      </c>
      <c r="AB6" s="1017">
        <v>61257806.251245186</v>
      </c>
      <c r="AC6" s="1018">
        <v>84962146.030934736</v>
      </c>
      <c r="AE6" s="17" t="s">
        <v>2997</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25">
      <c r="A7" t="s">
        <v>1005</v>
      </c>
      <c r="B7" t="s">
        <v>2037</v>
      </c>
      <c r="C7" t="s">
        <v>95</v>
      </c>
      <c r="D7" t="s">
        <v>2126</v>
      </c>
      <c r="E7">
        <v>2024</v>
      </c>
      <c r="F7" t="s">
        <v>4845</v>
      </c>
      <c r="G7" s="1033">
        <f>$R$11/1000000</f>
        <v>1.3155675455393586E-2</v>
      </c>
      <c r="H7" s="52" t="s">
        <v>4861</v>
      </c>
      <c r="I7" s="377">
        <v>1</v>
      </c>
      <c r="J7" s="377">
        <v>1</v>
      </c>
      <c r="K7" s="377">
        <v>1</v>
      </c>
      <c r="L7" s="377">
        <v>3</v>
      </c>
      <c r="M7" s="377">
        <v>1</v>
      </c>
      <c r="N7" s="1044"/>
      <c r="P7" s="1044"/>
      <c r="Q7" s="54" t="s">
        <v>2350</v>
      </c>
      <c r="R7" s="13">
        <v>17540967.182911947</v>
      </c>
      <c r="S7" s="1017">
        <v>26637663.973445419</v>
      </c>
      <c r="T7" s="1017">
        <v>16779505.478498325</v>
      </c>
      <c r="U7" s="1017">
        <v>25955665.07319789</v>
      </c>
      <c r="V7" s="1017">
        <v>17391612.265843969</v>
      </c>
      <c r="W7" s="1017">
        <v>18063161.236105155</v>
      </c>
      <c r="X7" s="1017">
        <v>13428295.734293703</v>
      </c>
      <c r="Y7" s="1017">
        <v>15008920.509727281</v>
      </c>
      <c r="Z7" s="1017">
        <v>19049857.842429727</v>
      </c>
      <c r="AA7" s="1017">
        <v>24128520.383172393</v>
      </c>
      <c r="AB7" s="1017">
        <v>18792656.107307758</v>
      </c>
      <c r="AC7" s="1018">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72">
        <v>0.56868624710569682</v>
      </c>
    </row>
    <row r="8" spans="1:40" x14ac:dyDescent="0.25">
      <c r="A8" t="s">
        <v>1005</v>
      </c>
      <c r="B8" t="s">
        <v>2036</v>
      </c>
      <c r="C8" t="s">
        <v>95</v>
      </c>
      <c r="D8" t="s">
        <v>2126</v>
      </c>
      <c r="E8">
        <v>2024</v>
      </c>
      <c r="F8" t="s">
        <v>4846</v>
      </c>
      <c r="G8" s="1033">
        <f>$R$12/1000000</f>
        <v>1.7419041289089867E-4</v>
      </c>
      <c r="H8" s="52" t="s">
        <v>4861</v>
      </c>
      <c r="I8" s="377">
        <v>1</v>
      </c>
      <c r="J8" s="377">
        <v>1</v>
      </c>
      <c r="K8" s="377">
        <v>1</v>
      </c>
      <c r="L8" s="377">
        <v>3</v>
      </c>
      <c r="M8" s="377">
        <v>1</v>
      </c>
      <c r="N8" s="1044"/>
      <c r="P8" s="1044"/>
      <c r="Q8" s="54" t="s">
        <v>2351</v>
      </c>
      <c r="R8" s="13">
        <v>7474.2140874006091</v>
      </c>
      <c r="S8" s="1017">
        <v>9851.9425665206436</v>
      </c>
      <c r="T8" s="1017">
        <v>7740.3083244533627</v>
      </c>
      <c r="U8" s="1017">
        <v>10576.00974718782</v>
      </c>
      <c r="V8" s="1017">
        <v>8123.0162544234863</v>
      </c>
      <c r="W8" s="1017">
        <v>8629.3558671878363</v>
      </c>
      <c r="X8" s="1017">
        <v>8921.7325068169666</v>
      </c>
      <c r="Y8" s="1017">
        <v>10073.438965422269</v>
      </c>
      <c r="Z8" s="1017">
        <v>12789.790772942062</v>
      </c>
      <c r="AA8" s="1017">
        <v>16279.068363639257</v>
      </c>
      <c r="AB8" s="1017">
        <v>11883.354100028053</v>
      </c>
      <c r="AC8" s="1018">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72">
        <v>0.14746865808631804</v>
      </c>
    </row>
    <row r="9" spans="1:40" x14ac:dyDescent="0.25">
      <c r="A9" t="s">
        <v>1006</v>
      </c>
      <c r="B9" t="s">
        <v>2035</v>
      </c>
      <c r="C9" t="s">
        <v>95</v>
      </c>
      <c r="D9" t="s">
        <v>2126</v>
      </c>
      <c r="E9">
        <v>2024</v>
      </c>
      <c r="F9" t="s">
        <v>4844</v>
      </c>
      <c r="G9" s="1033">
        <f>$R$9/1000000</f>
        <v>5.6779834882570333</v>
      </c>
      <c r="H9" s="52" t="s">
        <v>4861</v>
      </c>
      <c r="I9" s="377">
        <v>1</v>
      </c>
      <c r="J9" s="377">
        <v>1</v>
      </c>
      <c r="K9" s="377">
        <v>1</v>
      </c>
      <c r="L9" s="377">
        <v>3</v>
      </c>
      <c r="M9" s="377">
        <v>1</v>
      </c>
      <c r="N9" s="1044"/>
      <c r="P9" s="1044"/>
      <c r="Q9" s="239" t="s">
        <v>8</v>
      </c>
      <c r="R9" s="986">
        <v>5677983.4882570328</v>
      </c>
      <c r="S9" s="1019">
        <v>6679290.1523822993</v>
      </c>
      <c r="T9" s="1019">
        <v>5951994.5641287863</v>
      </c>
      <c r="U9" s="1019">
        <v>6961440.2419038415</v>
      </c>
      <c r="V9" s="1019">
        <v>6324490.3647257024</v>
      </c>
      <c r="W9" s="1019">
        <v>6633986.3556273114</v>
      </c>
      <c r="X9" s="1019">
        <v>6811708.3447614033</v>
      </c>
      <c r="Y9" s="1019">
        <v>7516991.1336115953</v>
      </c>
      <c r="Z9" s="1019">
        <v>9293684.0817648079</v>
      </c>
      <c r="AA9" s="1019">
        <v>11522768.197128957</v>
      </c>
      <c r="AB9" s="1019">
        <v>7134284.6206166102</v>
      </c>
      <c r="AC9" s="1020">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72">
        <v>0.28384509480798514</v>
      </c>
    </row>
    <row r="10" spans="1:40" x14ac:dyDescent="0.25">
      <c r="A10" t="s">
        <v>1006</v>
      </c>
      <c r="B10" t="s">
        <v>2037</v>
      </c>
      <c r="C10" t="s">
        <v>95</v>
      </c>
      <c r="D10" t="s">
        <v>2126</v>
      </c>
      <c r="E10">
        <v>2024</v>
      </c>
      <c r="F10" t="s">
        <v>4845</v>
      </c>
      <c r="G10" s="1033">
        <f>$R$11/1000000</f>
        <v>1.3155675455393586E-2</v>
      </c>
      <c r="H10" s="52" t="s">
        <v>4861</v>
      </c>
      <c r="I10" s="377">
        <v>1</v>
      </c>
      <c r="J10" s="377">
        <v>1</v>
      </c>
      <c r="K10" s="377">
        <v>1</v>
      </c>
      <c r="L10" s="377">
        <v>3</v>
      </c>
      <c r="M10" s="377">
        <v>1</v>
      </c>
      <c r="N10" s="1044"/>
      <c r="P10" s="1044"/>
      <c r="Q10" s="54" t="s">
        <v>4831</v>
      </c>
      <c r="R10" s="13">
        <v>5811251.939389566</v>
      </c>
      <c r="S10" s="1017">
        <v>6797945.255417156</v>
      </c>
      <c r="T10" s="1017">
        <v>6088396.1521670232</v>
      </c>
      <c r="U10" s="1017">
        <v>7082569.0109452698</v>
      </c>
      <c r="V10" s="1017">
        <v>6460424.8989294348</v>
      </c>
      <c r="W10" s="1017">
        <v>6770961.6570443418</v>
      </c>
      <c r="X10" s="1017">
        <v>6948563.4682696154</v>
      </c>
      <c r="Y10" s="1017">
        <v>7656198.5402516751</v>
      </c>
      <c r="Z10" s="1017">
        <v>9438867.066863209</v>
      </c>
      <c r="AA10" s="1017">
        <v>11675493.590471832</v>
      </c>
      <c r="AB10" s="1017">
        <v>7270324.9730320768</v>
      </c>
      <c r="AC10" s="1018">
        <v>8326186.5941871079</v>
      </c>
      <c r="AE10" s="28" t="s">
        <v>4842</v>
      </c>
      <c r="AJ10" s="85"/>
      <c r="AL10" s="28" t="s">
        <v>1481</v>
      </c>
      <c r="AM10" s="30"/>
      <c r="AN10" s="28"/>
    </row>
    <row r="11" spans="1:40" x14ac:dyDescent="0.25">
      <c r="A11" t="s">
        <v>1006</v>
      </c>
      <c r="B11" t="s">
        <v>2036</v>
      </c>
      <c r="C11" t="s">
        <v>95</v>
      </c>
      <c r="D11" t="s">
        <v>2126</v>
      </c>
      <c r="E11">
        <v>2024</v>
      </c>
      <c r="F11" t="s">
        <v>4846</v>
      </c>
      <c r="G11" s="1033">
        <f>$R$12/1000000</f>
        <v>1.7419041289089867E-4</v>
      </c>
      <c r="H11" s="52" t="s">
        <v>4861</v>
      </c>
      <c r="I11" s="377">
        <v>1</v>
      </c>
      <c r="J11" s="377">
        <v>1</v>
      </c>
      <c r="K11" s="377">
        <v>1</v>
      </c>
      <c r="L11" s="377">
        <v>3</v>
      </c>
      <c r="M11" s="377">
        <v>1</v>
      </c>
      <c r="N11" s="1044"/>
      <c r="P11" s="1044"/>
      <c r="Q11" s="54" t="s">
        <v>14</v>
      </c>
      <c r="R11" s="13">
        <v>13155.675455393586</v>
      </c>
      <c r="S11" s="1017">
        <v>16822.737926682385</v>
      </c>
      <c r="T11" s="1017">
        <v>13670.426810985697</v>
      </c>
      <c r="U11" s="1017">
        <v>17345.115019968431</v>
      </c>
      <c r="V11" s="1017">
        <v>16206.616802399747</v>
      </c>
      <c r="W11" s="1017">
        <v>17721.473353866291</v>
      </c>
      <c r="X11" s="1017">
        <v>21711.212641695125</v>
      </c>
      <c r="Y11" s="1017">
        <v>25193.979674444327</v>
      </c>
      <c r="Z11" s="1017">
        <v>34065.992966551654</v>
      </c>
      <c r="AA11" s="1017">
        <v>45195.796763295613</v>
      </c>
      <c r="AB11" s="1017">
        <v>17490.691324783507</v>
      </c>
      <c r="AC11" s="1018">
        <v>21703.212334303014</v>
      </c>
      <c r="AE11" s="17" t="s">
        <v>4423</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4001</v>
      </c>
      <c r="AN11" s="750">
        <f>'Background Data'!$AF$45</f>
        <v>0.64368048757149066</v>
      </c>
    </row>
    <row r="12" spans="1:40" x14ac:dyDescent="0.25">
      <c r="A12" t="s">
        <v>1007</v>
      </c>
      <c r="B12" t="s">
        <v>2035</v>
      </c>
      <c r="C12" t="s">
        <v>95</v>
      </c>
      <c r="D12" t="s">
        <v>2126</v>
      </c>
      <c r="E12">
        <v>2024</v>
      </c>
      <c r="F12" t="s">
        <v>4844</v>
      </c>
      <c r="G12" s="1033">
        <f>$T$9/1000000</f>
        <v>5.9519945641287864</v>
      </c>
      <c r="H12" s="52" t="s">
        <v>4861</v>
      </c>
      <c r="I12" s="377">
        <v>1</v>
      </c>
      <c r="J12" s="377">
        <v>1</v>
      </c>
      <c r="K12" s="377">
        <v>1</v>
      </c>
      <c r="L12" s="377">
        <v>3</v>
      </c>
      <c r="M12" s="377">
        <v>1</v>
      </c>
      <c r="N12" s="1044"/>
      <c r="P12" s="1044"/>
      <c r="Q12" s="54" t="s">
        <v>10</v>
      </c>
      <c r="R12" s="13">
        <v>174.19041289089867</v>
      </c>
      <c r="S12" s="1017">
        <v>212.60217981122415</v>
      </c>
      <c r="T12" s="1017">
        <v>244.57874557271535</v>
      </c>
      <c r="U12" s="1017">
        <v>267.13500874130722</v>
      </c>
      <c r="V12" s="1017">
        <v>233.61274622696303</v>
      </c>
      <c r="W12" s="1017">
        <v>243.32784593619419</v>
      </c>
      <c r="X12" s="1017">
        <v>231.19094126744861</v>
      </c>
      <c r="Y12" s="1017">
        <v>255.53743407472911</v>
      </c>
      <c r="Z12" s="1017">
        <v>310.7163214943364</v>
      </c>
      <c r="AA12" s="1017">
        <v>379.18434859846604</v>
      </c>
      <c r="AB12" s="1017">
        <v>283.6172144306309</v>
      </c>
      <c r="AC12" s="1018">
        <v>312.60617171999246</v>
      </c>
      <c r="AE12" s="17" t="s">
        <v>4424</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50">
        <f>'Background Data'!$AF$46</f>
        <v>5.9006896957830658E-2</v>
      </c>
    </row>
    <row r="13" spans="1:40" x14ac:dyDescent="0.25">
      <c r="A13" t="s">
        <v>1007</v>
      </c>
      <c r="B13" t="s">
        <v>2037</v>
      </c>
      <c r="C13" t="s">
        <v>95</v>
      </c>
      <c r="D13" t="s">
        <v>2126</v>
      </c>
      <c r="E13">
        <v>2024</v>
      </c>
      <c r="F13" t="s">
        <v>4845</v>
      </c>
      <c r="G13" s="1033">
        <f>$T$11/1000000</f>
        <v>1.3670426810985696E-2</v>
      </c>
      <c r="H13" s="52" t="s">
        <v>4861</v>
      </c>
      <c r="I13" s="377">
        <v>1</v>
      </c>
      <c r="J13" s="377">
        <v>1</v>
      </c>
      <c r="K13" s="377">
        <v>1</v>
      </c>
      <c r="L13" s="377">
        <v>3</v>
      </c>
      <c r="M13" s="377">
        <v>1</v>
      </c>
      <c r="N13" s="1044"/>
      <c r="P13" s="1044"/>
      <c r="Q13" s="240" t="s">
        <v>897</v>
      </c>
      <c r="R13" s="20">
        <v>6289308.1985479305</v>
      </c>
      <c r="S13" s="1021">
        <v>7495458.4889152469</v>
      </c>
      <c r="T13" s="1021">
        <v>6605386.0520012211</v>
      </c>
      <c r="U13" s="1021">
        <v>7812790.9052291578</v>
      </c>
      <c r="V13" s="1021">
        <v>7041598.8779614177</v>
      </c>
      <c r="W13" s="1021">
        <v>7400849.3174839905</v>
      </c>
      <c r="X13" s="1021">
        <v>7692682.6551965903</v>
      </c>
      <c r="Y13" s="1021">
        <v>8512877.9403668027</v>
      </c>
      <c r="Z13" s="1021">
        <v>10579606.592170335</v>
      </c>
      <c r="AA13" s="1021">
        <v>13173012.874479022</v>
      </c>
      <c r="AB13" s="1021">
        <v>7918984.1101745041</v>
      </c>
      <c r="AC13" s="1022">
        <v>9226894.7797063887</v>
      </c>
      <c r="AE13" s="17" t="s">
        <v>2997</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50">
        <f>'Background Data'!$AF$47</f>
        <v>4.6541584165703642E-2</v>
      </c>
    </row>
    <row r="14" spans="1:40" x14ac:dyDescent="0.25">
      <c r="A14" t="s">
        <v>1007</v>
      </c>
      <c r="B14" t="s">
        <v>2036</v>
      </c>
      <c r="C14" t="s">
        <v>95</v>
      </c>
      <c r="D14" t="s">
        <v>2126</v>
      </c>
      <c r="E14">
        <v>2024</v>
      </c>
      <c r="F14" t="s">
        <v>4846</v>
      </c>
      <c r="G14" s="1033">
        <f>$T$12/1000000</f>
        <v>2.4457874557271534E-4</v>
      </c>
      <c r="H14" s="52" t="s">
        <v>4861</v>
      </c>
      <c r="I14" s="377">
        <v>1</v>
      </c>
      <c r="J14" s="377">
        <v>1</v>
      </c>
      <c r="K14" s="377">
        <v>1</v>
      </c>
      <c r="L14" s="377">
        <v>3</v>
      </c>
      <c r="M14" s="377">
        <v>1</v>
      </c>
      <c r="N14" s="1044"/>
      <c r="P14" s="1044"/>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50">
        <f>'Background Data'!$AF$48</f>
        <v>2.8552080496404307E-2</v>
      </c>
    </row>
    <row r="15" spans="1:40" x14ac:dyDescent="0.25">
      <c r="A15" t="s">
        <v>4390</v>
      </c>
      <c r="B15" t="s">
        <v>2035</v>
      </c>
      <c r="C15" t="s">
        <v>95</v>
      </c>
      <c r="D15" t="s">
        <v>2126</v>
      </c>
      <c r="E15">
        <v>2024</v>
      </c>
      <c r="F15" t="s">
        <v>4844</v>
      </c>
      <c r="G15" s="1033">
        <f>$V$9/1000000</f>
        <v>6.324490364725702</v>
      </c>
      <c r="H15" s="52" t="s">
        <v>4862</v>
      </c>
      <c r="I15" s="377">
        <v>1</v>
      </c>
      <c r="J15" s="377">
        <v>1</v>
      </c>
      <c r="K15" s="377">
        <v>1</v>
      </c>
      <c r="L15" s="377">
        <v>3</v>
      </c>
      <c r="M15" s="377">
        <v>1</v>
      </c>
      <c r="N15" s="1044"/>
      <c r="P15" s="1044"/>
      <c r="Q15" s="1015" t="s">
        <v>4849</v>
      </c>
      <c r="S15" s="126"/>
      <c r="T15" s="126"/>
      <c r="U15" s="126"/>
      <c r="V15" s="126"/>
      <c r="W15" s="1016"/>
      <c r="X15" s="1016"/>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50">
        <f>'Background Data'!$AF$49</f>
        <v>0.20086561605217251</v>
      </c>
    </row>
    <row r="16" spans="1:40" ht="38.25" x14ac:dyDescent="0.25">
      <c r="A16" t="s">
        <v>4390</v>
      </c>
      <c r="B16" t="s">
        <v>2037</v>
      </c>
      <c r="C16" t="s">
        <v>95</v>
      </c>
      <c r="D16" t="s">
        <v>2126</v>
      </c>
      <c r="E16">
        <v>2024</v>
      </c>
      <c r="F16" t="s">
        <v>4845</v>
      </c>
      <c r="G16" s="1033">
        <f>$V$11/1000000</f>
        <v>1.6206616802399747E-2</v>
      </c>
      <c r="H16" s="52" t="s">
        <v>4862</v>
      </c>
      <c r="I16" s="377">
        <v>1</v>
      </c>
      <c r="J16" s="377">
        <v>1</v>
      </c>
      <c r="K16" s="377">
        <v>1</v>
      </c>
      <c r="L16" s="377">
        <v>3</v>
      </c>
      <c r="M16" s="377">
        <v>1</v>
      </c>
      <c r="N16" s="1044"/>
      <c r="P16" s="1044"/>
      <c r="Q16" s="1023"/>
      <c r="R16" s="1024" t="s">
        <v>4825</v>
      </c>
      <c r="S16" s="1024" t="s">
        <v>4826</v>
      </c>
      <c r="T16" s="1024" t="s">
        <v>4827</v>
      </c>
      <c r="U16" s="1024" t="s">
        <v>4828</v>
      </c>
      <c r="V16" s="1024" t="s">
        <v>4832</v>
      </c>
      <c r="W16" s="1024" t="s">
        <v>4833</v>
      </c>
      <c r="X16" s="1024" t="s">
        <v>4834</v>
      </c>
      <c r="Y16" s="1024" t="s">
        <v>4835</v>
      </c>
      <c r="Z16" s="1024" t="s">
        <v>4836</v>
      </c>
      <c r="AA16" s="1024" t="s">
        <v>4837</v>
      </c>
      <c r="AB16" s="1024" t="s">
        <v>4829</v>
      </c>
      <c r="AC16" s="1025" t="s">
        <v>4830</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50">
        <f>'Background Data'!$AF$50</f>
        <v>2.1353334756398272E-2</v>
      </c>
    </row>
    <row r="17" spans="1:40" x14ac:dyDescent="0.25">
      <c r="A17" t="s">
        <v>4390</v>
      </c>
      <c r="B17" t="s">
        <v>2036</v>
      </c>
      <c r="C17" t="s">
        <v>95</v>
      </c>
      <c r="D17" t="s">
        <v>2126</v>
      </c>
      <c r="E17">
        <v>2024</v>
      </c>
      <c r="F17" t="s">
        <v>4846</v>
      </c>
      <c r="G17" s="1033">
        <f>$V$12/1000000</f>
        <v>2.3361274622696302E-4</v>
      </c>
      <c r="H17" s="52" t="s">
        <v>4862</v>
      </c>
      <c r="I17" s="377">
        <v>1</v>
      </c>
      <c r="J17" s="377">
        <v>1</v>
      </c>
      <c r="K17" s="377">
        <v>1</v>
      </c>
      <c r="L17" s="377">
        <v>3</v>
      </c>
      <c r="M17" s="377">
        <v>1</v>
      </c>
      <c r="N17" s="1044"/>
      <c r="P17" s="1044"/>
      <c r="Q17" s="54" t="s">
        <v>2348</v>
      </c>
      <c r="R17" s="13">
        <v>107236649.57681678</v>
      </c>
      <c r="S17" s="1017">
        <v>156231476.79147446</v>
      </c>
      <c r="T17" s="1017">
        <v>111296309.44099635</v>
      </c>
      <c r="U17" s="1017">
        <v>160444543.9455137</v>
      </c>
      <c r="V17" s="1017">
        <v>118321685.17467189</v>
      </c>
      <c r="W17" s="1017">
        <v>124294653.65499611</v>
      </c>
      <c r="X17" s="1017">
        <v>125347474.68816437</v>
      </c>
      <c r="Y17" s="1017">
        <v>138777074.96765482</v>
      </c>
      <c r="Z17" s="1017">
        <v>172074716.01352727</v>
      </c>
      <c r="AA17" s="1017">
        <v>213638144.81465617</v>
      </c>
      <c r="AB17" s="1017">
        <v>142069897.76661429</v>
      </c>
      <c r="AC17" s="1018">
        <v>190041800.39620382</v>
      </c>
      <c r="AE17" s="28" t="s">
        <v>4843</v>
      </c>
    </row>
    <row r="18" spans="1:40" x14ac:dyDescent="0.25">
      <c r="A18" t="s">
        <v>1009</v>
      </c>
      <c r="B18" t="s">
        <v>2035</v>
      </c>
      <c r="C18" t="s">
        <v>95</v>
      </c>
      <c r="D18" t="s">
        <v>2126</v>
      </c>
      <c r="E18">
        <v>2024</v>
      </c>
      <c r="F18" t="s">
        <v>4844</v>
      </c>
      <c r="G18" s="1033">
        <f>$W$9/1000000</f>
        <v>6.6339863556273118</v>
      </c>
      <c r="H18" s="52" t="s">
        <v>4862</v>
      </c>
      <c r="I18" s="377">
        <v>1</v>
      </c>
      <c r="J18" s="377">
        <v>1</v>
      </c>
      <c r="K18" s="377">
        <v>1</v>
      </c>
      <c r="L18" s="377">
        <v>3</v>
      </c>
      <c r="M18" s="377">
        <v>1</v>
      </c>
      <c r="N18" s="1044"/>
      <c r="P18" s="1044"/>
      <c r="Q18" s="54" t="s">
        <v>2349</v>
      </c>
      <c r="R18" s="13">
        <v>97212603.639948875</v>
      </c>
      <c r="S18" s="1017">
        <v>139879310.51332697</v>
      </c>
      <c r="T18" s="1017">
        <v>100902106.68949358</v>
      </c>
      <c r="U18" s="1017">
        <v>143336041.65551254</v>
      </c>
      <c r="V18" s="1017">
        <v>106700647.91063075</v>
      </c>
      <c r="W18" s="1017">
        <v>112008554.94063188</v>
      </c>
      <c r="X18" s="1017">
        <v>112599139.01848271</v>
      </c>
      <c r="Y18" s="1017">
        <v>124559637.81124681</v>
      </c>
      <c r="Z18" s="1017">
        <v>154424758.38449934</v>
      </c>
      <c r="AA18" s="1017">
        <v>191569862.89436403</v>
      </c>
      <c r="AB18" s="1017">
        <v>126329365.7434044</v>
      </c>
      <c r="AC18" s="1018">
        <v>167855922.88844025</v>
      </c>
      <c r="AE18" s="17" t="s">
        <v>4423</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39" t="s">
        <v>1546</v>
      </c>
      <c r="AM18" s="1039"/>
      <c r="AN18" s="1039"/>
    </row>
    <row r="19" spans="1:40" ht="15.75" thickBot="1" x14ac:dyDescent="0.3">
      <c r="A19" t="s">
        <v>1009</v>
      </c>
      <c r="B19" t="s">
        <v>2037</v>
      </c>
      <c r="C19" t="s">
        <v>95</v>
      </c>
      <c r="D19" t="s">
        <v>2126</v>
      </c>
      <c r="E19">
        <v>2024</v>
      </c>
      <c r="F19" t="s">
        <v>4845</v>
      </c>
      <c r="G19" s="1033">
        <f>$W$11/1000000</f>
        <v>1.7721473353866292E-2</v>
      </c>
      <c r="H19" s="52" t="s">
        <v>4862</v>
      </c>
      <c r="I19" s="377">
        <v>1</v>
      </c>
      <c r="J19" s="377">
        <v>1</v>
      </c>
      <c r="K19" s="377">
        <v>1</v>
      </c>
      <c r="L19" s="377">
        <v>3</v>
      </c>
      <c r="M19" s="377">
        <v>1</v>
      </c>
      <c r="N19" s="1044"/>
      <c r="P19" s="1044"/>
      <c r="Q19" s="54" t="s">
        <v>2221</v>
      </c>
      <c r="R19" s="13">
        <v>25973843.495570399</v>
      </c>
      <c r="S19" s="1017">
        <v>26286701.250047773</v>
      </c>
      <c r="T19" s="1017">
        <v>28604179.105726294</v>
      </c>
      <c r="U19" s="1017">
        <v>28629232.983199917</v>
      </c>
      <c r="V19" s="1017">
        <v>29836513.280848391</v>
      </c>
      <c r="W19" s="1017">
        <v>31123016.736234833</v>
      </c>
      <c r="X19" s="1017">
        <v>31676106.172420718</v>
      </c>
      <c r="Y19" s="1017">
        <v>34528059.273792148</v>
      </c>
      <c r="Z19" s="1017">
        <v>41348689.994949058</v>
      </c>
      <c r="AA19" s="1017">
        <v>49984420.035920322</v>
      </c>
      <c r="AB19" s="1017">
        <v>33432727.898932312</v>
      </c>
      <c r="AC19" s="1018">
        <v>33029670.369977843</v>
      </c>
      <c r="AE19" s="17" t="s">
        <v>4424</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1942</v>
      </c>
    </row>
    <row r="20" spans="1:40" ht="15.75" thickTop="1" x14ac:dyDescent="0.25">
      <c r="A20" t="s">
        <v>1009</v>
      </c>
      <c r="B20" t="s">
        <v>2036</v>
      </c>
      <c r="C20" t="s">
        <v>95</v>
      </c>
      <c r="D20" t="s">
        <v>2126</v>
      </c>
      <c r="E20">
        <v>2024</v>
      </c>
      <c r="F20" t="s">
        <v>4846</v>
      </c>
      <c r="G20" s="1033">
        <f>$W$12/1000000</f>
        <v>2.4332784593619419E-4</v>
      </c>
      <c r="H20" s="52" t="s">
        <v>4862</v>
      </c>
      <c r="I20" s="377">
        <v>1</v>
      </c>
      <c r="J20" s="377">
        <v>1</v>
      </c>
      <c r="K20" s="377">
        <v>1</v>
      </c>
      <c r="L20" s="377">
        <v>3</v>
      </c>
      <c r="M20" s="377">
        <v>1</v>
      </c>
      <c r="N20" s="1044"/>
      <c r="P20" s="1044"/>
      <c r="Q20" s="54" t="s">
        <v>250</v>
      </c>
      <c r="R20" s="13">
        <v>47742944.730157509</v>
      </c>
      <c r="S20" s="1017">
        <v>77922262.576939493</v>
      </c>
      <c r="T20" s="1017">
        <v>49891681.844310343</v>
      </c>
      <c r="U20" s="1017">
        <v>80113222.93377468</v>
      </c>
      <c r="V20" s="1017">
        <v>53745608.41208411</v>
      </c>
      <c r="W20" s="1017">
        <v>56959027.439834744</v>
      </c>
      <c r="X20" s="1017">
        <v>64244917.020901799</v>
      </c>
      <c r="Y20" s="1017">
        <v>71496259.443618596</v>
      </c>
      <c r="Z20" s="1017">
        <v>89822558.945133135</v>
      </c>
      <c r="AA20" s="1017">
        <v>112659236.64001165</v>
      </c>
      <c r="AB20" s="1017">
        <v>69908311.430809259</v>
      </c>
      <c r="AC20" s="1018">
        <v>100173987.77366748</v>
      </c>
      <c r="AE20" s="17" t="s">
        <v>2997</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1543</v>
      </c>
    </row>
    <row r="21" spans="1:40" x14ac:dyDescent="0.25">
      <c r="A21" t="s">
        <v>4395</v>
      </c>
      <c r="B21" t="s">
        <v>2035</v>
      </c>
      <c r="C21" t="s">
        <v>95</v>
      </c>
      <c r="D21" t="s">
        <v>2126</v>
      </c>
      <c r="E21">
        <v>2024</v>
      </c>
      <c r="F21" t="s">
        <v>4844</v>
      </c>
      <c r="G21" s="1033">
        <f>$X$9/1000000</f>
        <v>6.8117083447614029</v>
      </c>
      <c r="H21" s="52" t="s">
        <v>4862</v>
      </c>
      <c r="I21" s="377">
        <v>1</v>
      </c>
      <c r="J21" s="377">
        <v>1</v>
      </c>
      <c r="K21" s="377">
        <v>1</v>
      </c>
      <c r="L21" s="377">
        <v>3</v>
      </c>
      <c r="M21" s="377">
        <v>1</v>
      </c>
      <c r="N21" s="1044"/>
      <c r="P21" s="1044"/>
      <c r="Q21" s="54" t="s">
        <v>2350</v>
      </c>
      <c r="R21" s="13">
        <v>23495815.414220974</v>
      </c>
      <c r="S21" s="1017">
        <v>35670346.686339706</v>
      </c>
      <c r="T21" s="1017">
        <v>22406245.739456948</v>
      </c>
      <c r="U21" s="1017">
        <v>34593585.738537937</v>
      </c>
      <c r="V21" s="1017">
        <v>23118526.217698239</v>
      </c>
      <c r="W21" s="1017">
        <v>23926510.764562309</v>
      </c>
      <c r="X21" s="1017">
        <v>16678115.825160209</v>
      </c>
      <c r="Y21" s="1017">
        <v>18535319.093836062</v>
      </c>
      <c r="Z21" s="1017">
        <v>23253509.444417145</v>
      </c>
      <c r="AA21" s="1017">
        <v>28926206.21843205</v>
      </c>
      <c r="AB21" s="1017">
        <v>22988326.413662843</v>
      </c>
      <c r="AC21" s="1018">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3999</v>
      </c>
      <c r="AM21" t="s">
        <v>1931</v>
      </c>
      <c r="AN21" s="750">
        <v>0.18272858103533385</v>
      </c>
    </row>
    <row r="22" spans="1:40" x14ac:dyDescent="0.25">
      <c r="A22" t="s">
        <v>4395</v>
      </c>
      <c r="B22" t="s">
        <v>2037</v>
      </c>
      <c r="C22" t="s">
        <v>95</v>
      </c>
      <c r="D22" t="s">
        <v>2126</v>
      </c>
      <c r="E22">
        <v>2024</v>
      </c>
      <c r="F22" t="s">
        <v>4845</v>
      </c>
      <c r="G22" s="1033">
        <f>$X$11/1000000</f>
        <v>2.1711212641695125E-2</v>
      </c>
      <c r="H22" s="52" t="s">
        <v>4862</v>
      </c>
      <c r="I22" s="377">
        <v>1</v>
      </c>
      <c r="J22" s="377">
        <v>1</v>
      </c>
      <c r="K22" s="377">
        <v>1</v>
      </c>
      <c r="L22" s="377">
        <v>3</v>
      </c>
      <c r="M22" s="377">
        <v>1</v>
      </c>
      <c r="N22" s="1044"/>
      <c r="P22" s="1044"/>
      <c r="Q22" s="54" t="s">
        <v>2351</v>
      </c>
      <c r="R22" s="13">
        <v>7557.9005959721317</v>
      </c>
      <c r="S22" s="1017">
        <v>11732.325818841317</v>
      </c>
      <c r="T22" s="1017">
        <v>8107.9589603227505</v>
      </c>
      <c r="U22" s="1017">
        <v>12969.059798982533</v>
      </c>
      <c r="V22" s="1017">
        <v>8640.7037364879543</v>
      </c>
      <c r="W22" s="1017">
        <v>9296.980037077341</v>
      </c>
      <c r="X22" s="1017">
        <v>9401.4767986677743</v>
      </c>
      <c r="Y22" s="1017">
        <v>10823.142034747392</v>
      </c>
      <c r="Z22" s="1017">
        <v>14052.143201556379</v>
      </c>
      <c r="AA22" s="1017">
        <v>18026.395879801898</v>
      </c>
      <c r="AB22" s="1017">
        <v>12559.61878278179</v>
      </c>
      <c r="AC22" s="1018">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4000</v>
      </c>
      <c r="AM22" t="s">
        <v>1932</v>
      </c>
      <c r="AN22" s="750">
        <v>0.81727141896466615</v>
      </c>
    </row>
    <row r="23" spans="1:40" x14ac:dyDescent="0.25">
      <c r="A23" t="s">
        <v>4395</v>
      </c>
      <c r="B23" t="s">
        <v>2036</v>
      </c>
      <c r="C23" t="s">
        <v>95</v>
      </c>
      <c r="D23" t="s">
        <v>2126</v>
      </c>
      <c r="E23">
        <v>2024</v>
      </c>
      <c r="F23" t="s">
        <v>4846</v>
      </c>
      <c r="G23" s="1033">
        <f>$X$12/1000000</f>
        <v>2.311909412674486E-4</v>
      </c>
      <c r="H23" s="52" t="s">
        <v>4862</v>
      </c>
      <c r="I23" s="377">
        <v>1</v>
      </c>
      <c r="J23" s="377">
        <v>1</v>
      </c>
      <c r="K23" s="377">
        <v>1</v>
      </c>
      <c r="L23" s="377">
        <v>3</v>
      </c>
      <c r="M23" s="377">
        <v>1</v>
      </c>
      <c r="N23" s="1044"/>
      <c r="P23" s="1044"/>
      <c r="Q23" s="239" t="s">
        <v>8</v>
      </c>
      <c r="R23" s="986">
        <v>6480949.9910610402</v>
      </c>
      <c r="S23" s="1019">
        <v>8364483.9250063887</v>
      </c>
      <c r="T23" s="1019">
        <v>6847128.4263299368</v>
      </c>
      <c r="U23" s="1019">
        <v>8728309.6753110383</v>
      </c>
      <c r="V23" s="1019">
        <v>7298816.0916470932</v>
      </c>
      <c r="W23" s="1019">
        <v>7675446.2654837351</v>
      </c>
      <c r="X23" s="1019">
        <v>7728116.0257355729</v>
      </c>
      <c r="Y23" s="1019">
        <v>8571068.0030217655</v>
      </c>
      <c r="Z23" s="1019">
        <v>10649328.972945612</v>
      </c>
      <c r="AA23" s="1019">
        <v>13240616.987935973</v>
      </c>
      <c r="AB23" s="1019">
        <v>8019312.2760309754</v>
      </c>
      <c r="AC23" s="1020">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1010</v>
      </c>
      <c r="B24" t="s">
        <v>2035</v>
      </c>
      <c r="C24" t="s">
        <v>95</v>
      </c>
      <c r="D24" t="s">
        <v>2126</v>
      </c>
      <c r="E24">
        <v>2024</v>
      </c>
      <c r="F24" t="s">
        <v>4844</v>
      </c>
      <c r="G24" s="1033">
        <f>$Y$9/1000000</f>
        <v>7.5169911336115955</v>
      </c>
      <c r="H24" s="52" t="s">
        <v>4862</v>
      </c>
      <c r="I24" s="377">
        <v>1</v>
      </c>
      <c r="J24" s="377">
        <v>1</v>
      </c>
      <c r="K24" s="377">
        <v>1</v>
      </c>
      <c r="L24" s="377">
        <v>3</v>
      </c>
      <c r="M24" s="377">
        <v>1</v>
      </c>
      <c r="N24" s="1044"/>
      <c r="P24" s="1044"/>
      <c r="Q24" s="54" t="s">
        <v>4831</v>
      </c>
      <c r="R24" s="13">
        <v>6705173.7600856926</v>
      </c>
      <c r="S24" s="1017">
        <v>8576740.8650425654</v>
      </c>
      <c r="T24" s="1017">
        <v>7075596.8812114</v>
      </c>
      <c r="U24" s="1017">
        <v>8943439.9630113281</v>
      </c>
      <c r="V24" s="1017">
        <v>7526896.5822848976</v>
      </c>
      <c r="W24" s="1017">
        <v>7904778.6419240097</v>
      </c>
      <c r="X24" s="1017">
        <v>7957153.915715172</v>
      </c>
      <c r="Y24" s="1017">
        <v>8802960.730977349</v>
      </c>
      <c r="Z24" s="1017">
        <v>10888262.131383959</v>
      </c>
      <c r="AA24" s="1017">
        <v>13488393.93026991</v>
      </c>
      <c r="AB24" s="1017">
        <v>8246748.3821550719</v>
      </c>
      <c r="AC24" s="1018">
        <v>10051549.178321958</v>
      </c>
    </row>
    <row r="25" spans="1:40" x14ac:dyDescent="0.25">
      <c r="A25" t="s">
        <v>1010</v>
      </c>
      <c r="B25" t="s">
        <v>2037</v>
      </c>
      <c r="C25" t="s">
        <v>95</v>
      </c>
      <c r="D25" t="s">
        <v>2126</v>
      </c>
      <c r="E25">
        <v>2024</v>
      </c>
      <c r="F25" t="s">
        <v>4845</v>
      </c>
      <c r="G25" s="1033">
        <f>$Y$11/1000000</f>
        <v>2.5193979674444325E-2</v>
      </c>
      <c r="H25" s="52" t="s">
        <v>4862</v>
      </c>
      <c r="I25" s="377">
        <v>1</v>
      </c>
      <c r="J25" s="377">
        <v>1</v>
      </c>
      <c r="K25" s="377">
        <v>1</v>
      </c>
      <c r="L25" s="377">
        <v>3</v>
      </c>
      <c r="M25" s="377">
        <v>1</v>
      </c>
      <c r="N25" s="1044"/>
      <c r="P25" s="1044"/>
      <c r="Q25" s="54" t="s">
        <v>14</v>
      </c>
      <c r="R25" s="13">
        <v>14938.105903228332</v>
      </c>
      <c r="S25" s="1017">
        <v>20976.612692975101</v>
      </c>
      <c r="T25" s="1017">
        <v>15554.05800120503</v>
      </c>
      <c r="U25" s="1017">
        <v>21585.797794689901</v>
      </c>
      <c r="V25" s="1017">
        <v>18581.804256942065</v>
      </c>
      <c r="W25" s="1017">
        <v>20398.12668835049</v>
      </c>
      <c r="X25" s="1017">
        <v>24743.547893870804</v>
      </c>
      <c r="Y25" s="1017">
        <v>28861.304599044335</v>
      </c>
      <c r="Z25" s="1017">
        <v>39211.003468244009</v>
      </c>
      <c r="AA25" s="1017">
        <v>51775.873564840811</v>
      </c>
      <c r="AB25" s="1017">
        <v>19606.556035232294</v>
      </c>
      <c r="AC25" s="1018">
        <v>25629.042454671024</v>
      </c>
      <c r="AE25" s="28" t="s">
        <v>4847</v>
      </c>
    </row>
    <row r="26" spans="1:40" ht="15.75" thickBot="1" x14ac:dyDescent="0.3">
      <c r="A26" t="s">
        <v>1010</v>
      </c>
      <c r="B26" t="s">
        <v>2036</v>
      </c>
      <c r="C26" t="s">
        <v>95</v>
      </c>
      <c r="D26" t="s">
        <v>2126</v>
      </c>
      <c r="E26">
        <v>2024</v>
      </c>
      <c r="F26" t="s">
        <v>4846</v>
      </c>
      <c r="G26" s="1033">
        <f>$Y$12/1000000</f>
        <v>2.5553743407472909E-4</v>
      </c>
      <c r="H26" s="52" t="s">
        <v>4862</v>
      </c>
      <c r="I26" s="377">
        <v>1</v>
      </c>
      <c r="J26" s="377">
        <v>1</v>
      </c>
      <c r="K26" s="377">
        <v>1</v>
      </c>
      <c r="L26" s="377">
        <v>3</v>
      </c>
      <c r="M26" s="377">
        <v>1</v>
      </c>
      <c r="N26" s="1044"/>
      <c r="P26" s="1044"/>
      <c r="Q26" s="54" t="s">
        <v>10</v>
      </c>
      <c r="R26" s="13">
        <v>200.73132825824291</v>
      </c>
      <c r="S26" s="1017">
        <v>255.95466974699292</v>
      </c>
      <c r="T26" s="1017">
        <v>279.91498030231321</v>
      </c>
      <c r="U26" s="1017">
        <v>323.16821554037415</v>
      </c>
      <c r="V26" s="1017">
        <v>267.99667314073838</v>
      </c>
      <c r="W26" s="1017">
        <v>279.96429760250203</v>
      </c>
      <c r="X26" s="1017">
        <v>264.19119752749083</v>
      </c>
      <c r="Y26" s="1017">
        <v>293.40155452163458</v>
      </c>
      <c r="Z26" s="1017">
        <v>357.32319135747304</v>
      </c>
      <c r="AA26" s="1017">
        <v>439.99078815203814</v>
      </c>
      <c r="AB26" s="1017">
        <v>299.06693836210292</v>
      </c>
      <c r="AC26" s="1018">
        <v>362.74013531851779</v>
      </c>
      <c r="AE26" s="281" t="s">
        <v>4249</v>
      </c>
      <c r="AF26" s="281">
        <v>2023</v>
      </c>
      <c r="AG26" s="281">
        <v>2025</v>
      </c>
      <c r="AH26" s="281">
        <v>2030</v>
      </c>
      <c r="AI26" s="281">
        <v>2050</v>
      </c>
      <c r="AJ26" s="298" t="s">
        <v>4841</v>
      </c>
    </row>
    <row r="27" spans="1:40" ht="15.75" thickTop="1" x14ac:dyDescent="0.25">
      <c r="A27" t="s">
        <v>1011</v>
      </c>
      <c r="B27" t="s">
        <v>2035</v>
      </c>
      <c r="C27" t="s">
        <v>95</v>
      </c>
      <c r="D27" t="s">
        <v>2126</v>
      </c>
      <c r="E27">
        <v>2024</v>
      </c>
      <c r="F27" t="s">
        <v>4844</v>
      </c>
      <c r="G27" s="1033">
        <f>$Z$9/1000000</f>
        <v>9.2936840817648072</v>
      </c>
      <c r="H27" s="52" t="s">
        <v>4862</v>
      </c>
      <c r="I27" s="377">
        <v>1</v>
      </c>
      <c r="J27" s="377">
        <v>1</v>
      </c>
      <c r="K27" s="377">
        <v>1</v>
      </c>
      <c r="L27" s="377">
        <v>3</v>
      </c>
      <c r="M27" s="377">
        <v>1</v>
      </c>
      <c r="N27" s="1044"/>
      <c r="P27" s="1044"/>
      <c r="Q27" s="240" t="s">
        <v>897</v>
      </c>
      <c r="R27" s="20">
        <v>7250656.1868849806</v>
      </c>
      <c r="S27" s="1021">
        <v>9410873.7420471311</v>
      </c>
      <c r="T27" s="1021">
        <v>7667568.0683700405</v>
      </c>
      <c r="U27" s="1021">
        <v>9805622.7230874579</v>
      </c>
      <c r="V27" s="1021">
        <v>8196103.094547417</v>
      </c>
      <c r="W27" s="1021">
        <v>8632746.7834890131</v>
      </c>
      <c r="X27" s="1021">
        <v>8808385.2093657572</v>
      </c>
      <c r="Y27" s="1021">
        <v>9787674.0038138516</v>
      </c>
      <c r="Z27" s="1021">
        <v>12204686.1401562</v>
      </c>
      <c r="AA27" s="1021">
        <v>15208803.574369935</v>
      </c>
      <c r="AB27" s="1021">
        <v>8966915.8181238677</v>
      </c>
      <c r="AC27" s="1022">
        <v>11058342.629578825</v>
      </c>
      <c r="AE27" s="28" t="s">
        <v>17</v>
      </c>
    </row>
    <row r="28" spans="1:40" x14ac:dyDescent="0.25">
      <c r="A28" t="s">
        <v>1011</v>
      </c>
      <c r="B28" t="s">
        <v>2037</v>
      </c>
      <c r="C28" t="s">
        <v>95</v>
      </c>
      <c r="D28" t="s">
        <v>2126</v>
      </c>
      <c r="E28">
        <v>2024</v>
      </c>
      <c r="F28" t="s">
        <v>4845</v>
      </c>
      <c r="G28" s="1033">
        <f>$Z$11/1000000</f>
        <v>3.4065992966551654E-2</v>
      </c>
      <c r="H28" s="52" t="s">
        <v>4862</v>
      </c>
      <c r="I28" s="377">
        <v>1</v>
      </c>
      <c r="J28" s="377">
        <v>1</v>
      </c>
      <c r="K28" s="377">
        <v>1</v>
      </c>
      <c r="L28" s="377">
        <v>3</v>
      </c>
      <c r="M28" s="377">
        <v>1</v>
      </c>
      <c r="N28" s="1044"/>
      <c r="P28" s="1044"/>
      <c r="AE28" s="17" t="s">
        <v>4423</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1011</v>
      </c>
      <c r="B29" t="s">
        <v>2036</v>
      </c>
      <c r="C29" t="s">
        <v>95</v>
      </c>
      <c r="D29" t="s">
        <v>2126</v>
      </c>
      <c r="E29">
        <v>2024</v>
      </c>
      <c r="F29" t="s">
        <v>4846</v>
      </c>
      <c r="G29" s="1033">
        <f>$Z$12/1000000</f>
        <v>3.1071632149433641E-4</v>
      </c>
      <c r="H29" s="52" t="s">
        <v>4862</v>
      </c>
      <c r="I29" s="377">
        <v>1</v>
      </c>
      <c r="J29" s="377">
        <v>1</v>
      </c>
      <c r="K29" s="377">
        <v>1</v>
      </c>
      <c r="L29" s="377">
        <v>3</v>
      </c>
      <c r="M29" s="377">
        <v>1</v>
      </c>
      <c r="N29" s="1044"/>
      <c r="P29" s="1044"/>
      <c r="Q29" s="1015" t="s">
        <v>4850</v>
      </c>
      <c r="S29" s="126"/>
      <c r="T29" s="126"/>
      <c r="U29" s="126"/>
      <c r="V29" s="126"/>
      <c r="W29" s="1016"/>
      <c r="X29" s="1016"/>
      <c r="AE29" s="17" t="s">
        <v>4424</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1012</v>
      </c>
      <c r="B30" t="s">
        <v>2035</v>
      </c>
      <c r="C30" t="s">
        <v>95</v>
      </c>
      <c r="D30" t="s">
        <v>2126</v>
      </c>
      <c r="E30">
        <v>2024</v>
      </c>
      <c r="F30" t="s">
        <v>4844</v>
      </c>
      <c r="G30" s="1033">
        <f>$AA$9/1000000</f>
        <v>11.522768197128958</v>
      </c>
      <c r="H30" s="52" t="s">
        <v>4862</v>
      </c>
      <c r="I30" s="377">
        <v>1</v>
      </c>
      <c r="J30" s="377">
        <v>1</v>
      </c>
      <c r="K30" s="377">
        <v>1</v>
      </c>
      <c r="L30" s="377">
        <v>3</v>
      </c>
      <c r="M30" s="377">
        <v>1</v>
      </c>
      <c r="N30" s="1044"/>
      <c r="P30" s="1044"/>
      <c r="Q30" s="1023"/>
      <c r="R30" s="1024" t="s">
        <v>4825</v>
      </c>
      <c r="S30" s="1024" t="s">
        <v>4826</v>
      </c>
      <c r="T30" s="1024" t="s">
        <v>4827</v>
      </c>
      <c r="U30" s="1024" t="s">
        <v>4828</v>
      </c>
      <c r="V30" s="1024" t="s">
        <v>4832</v>
      </c>
      <c r="W30" s="1024" t="s">
        <v>4833</v>
      </c>
      <c r="X30" s="1024" t="s">
        <v>4834</v>
      </c>
      <c r="Y30" s="1024" t="s">
        <v>4835</v>
      </c>
      <c r="Z30" s="1024" t="s">
        <v>4836</v>
      </c>
      <c r="AA30" s="1024" t="s">
        <v>4837</v>
      </c>
      <c r="AB30" s="1024" t="s">
        <v>4829</v>
      </c>
      <c r="AC30" s="1025" t="s">
        <v>4830</v>
      </c>
      <c r="AE30" s="17" t="s">
        <v>2997</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x14ac:dyDescent="0.25">
      <c r="A31" t="s">
        <v>1012</v>
      </c>
      <c r="B31" t="s">
        <v>2037</v>
      </c>
      <c r="C31" t="s">
        <v>95</v>
      </c>
      <c r="D31" t="s">
        <v>2126</v>
      </c>
      <c r="E31">
        <v>2024</v>
      </c>
      <c r="F31" t="s">
        <v>4845</v>
      </c>
      <c r="G31" s="1033">
        <f>$AA$11/1000000</f>
        <v>4.5195796763295611E-2</v>
      </c>
      <c r="H31" s="52" t="s">
        <v>4862</v>
      </c>
      <c r="I31" s="377">
        <v>1</v>
      </c>
      <c r="J31" s="377">
        <v>1</v>
      </c>
      <c r="K31" s="377">
        <v>1</v>
      </c>
      <c r="L31" s="377">
        <v>3</v>
      </c>
      <c r="M31" s="377">
        <v>1</v>
      </c>
      <c r="N31" s="1044"/>
      <c r="P31" s="1044"/>
      <c r="Q31" s="54" t="s">
        <v>2348</v>
      </c>
      <c r="R31" s="13">
        <v>136323168.01694059</v>
      </c>
      <c r="S31" s="1017">
        <v>172104585.05591771</v>
      </c>
      <c r="T31" s="1017">
        <v>144676819.44560221</v>
      </c>
      <c r="U31" s="1017">
        <v>178625967.43035197</v>
      </c>
      <c r="V31" s="1017">
        <v>152470044.70210344</v>
      </c>
      <c r="W31" s="1017">
        <v>160517408.20780233</v>
      </c>
      <c r="X31" s="1017">
        <v>166326009.004563</v>
      </c>
      <c r="Y31" s="1017">
        <v>186220444.24208933</v>
      </c>
      <c r="Z31" s="1017">
        <v>227526355.98300174</v>
      </c>
      <c r="AA31" s="1017">
        <v>296533249.7890057</v>
      </c>
      <c r="AB31" s="1017">
        <v>184644015.25674474</v>
      </c>
      <c r="AC31" s="1018">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1012</v>
      </c>
      <c r="B32" t="s">
        <v>2036</v>
      </c>
      <c r="C32" t="s">
        <v>95</v>
      </c>
      <c r="D32" t="s">
        <v>2126</v>
      </c>
      <c r="E32">
        <v>2024</v>
      </c>
      <c r="F32" t="s">
        <v>4846</v>
      </c>
      <c r="G32" s="1033">
        <f>$AA$12/1000000</f>
        <v>3.7918434859846603E-4</v>
      </c>
      <c r="H32" s="52" t="s">
        <v>4862</v>
      </c>
      <c r="I32" s="377">
        <v>1</v>
      </c>
      <c r="J32" s="377">
        <v>1</v>
      </c>
      <c r="K32" s="377">
        <v>1</v>
      </c>
      <c r="L32" s="377">
        <v>3</v>
      </c>
      <c r="M32" s="377">
        <v>1</v>
      </c>
      <c r="N32" s="1044"/>
      <c r="P32" s="1044"/>
      <c r="Q32" s="54" t="s">
        <v>2349</v>
      </c>
      <c r="R32" s="13">
        <v>120020263.85935353</v>
      </c>
      <c r="S32" s="1017">
        <v>153165917.06040984</v>
      </c>
      <c r="T32" s="1017">
        <v>126854723.59850502</v>
      </c>
      <c r="U32" s="1017">
        <v>158782362.92908549</v>
      </c>
      <c r="V32" s="1017">
        <v>133762164.86542006</v>
      </c>
      <c r="W32" s="1017">
        <v>140959958.82154608</v>
      </c>
      <c r="X32" s="1017">
        <v>145965953.46545896</v>
      </c>
      <c r="Y32" s="1017">
        <v>163783953.21855849</v>
      </c>
      <c r="Z32" s="1017">
        <v>200824622.8881582</v>
      </c>
      <c r="AA32" s="1017">
        <v>262305695.82747689</v>
      </c>
      <c r="AB32" s="1017">
        <v>160963054.54894024</v>
      </c>
      <c r="AC32" s="1018">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row>
    <row r="33" spans="1:36" x14ac:dyDescent="0.25">
      <c r="A33" t="s">
        <v>4420</v>
      </c>
      <c r="B33" t="s">
        <v>2035</v>
      </c>
      <c r="C33" t="s">
        <v>95</v>
      </c>
      <c r="D33" t="s">
        <v>2126</v>
      </c>
      <c r="E33">
        <v>2024</v>
      </c>
      <c r="F33" t="s">
        <v>4844</v>
      </c>
      <c r="G33" s="1033">
        <f>$AB$9/1000000</f>
        <v>7.1342846206166097</v>
      </c>
      <c r="H33" s="52" t="s">
        <v>4861</v>
      </c>
      <c r="I33" s="377">
        <v>1</v>
      </c>
      <c r="J33" s="377">
        <v>1</v>
      </c>
      <c r="K33" s="377">
        <v>1</v>
      </c>
      <c r="L33" s="377">
        <v>3</v>
      </c>
      <c r="M33" s="377">
        <v>1</v>
      </c>
      <c r="N33" s="1044"/>
      <c r="P33" s="1044"/>
      <c r="Q33" s="54" t="s">
        <v>2221</v>
      </c>
      <c r="R33" s="13">
        <v>37832422.475459918</v>
      </c>
      <c r="S33" s="1017">
        <v>30154027.923997547</v>
      </c>
      <c r="T33" s="1017">
        <v>41568238.871969655</v>
      </c>
      <c r="U33" s="1017">
        <v>32834280.025717694</v>
      </c>
      <c r="V33" s="1017">
        <v>42613500.38538415</v>
      </c>
      <c r="W33" s="1017">
        <v>44360079.71111232</v>
      </c>
      <c r="X33" s="1017">
        <v>45333863.549640954</v>
      </c>
      <c r="Y33" s="1017">
        <v>49493198.085299529</v>
      </c>
      <c r="Z33" s="1017">
        <v>57952386.203931578</v>
      </c>
      <c r="AA33" s="1017">
        <v>72640162.252706751</v>
      </c>
      <c r="AB33" s="1017">
        <v>47790853.217361458</v>
      </c>
      <c r="AC33" s="1018">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row>
    <row r="34" spans="1:36" ht="14.45" customHeight="1" x14ac:dyDescent="0.25">
      <c r="A34" t="s">
        <v>4420</v>
      </c>
      <c r="B34" t="s">
        <v>2037</v>
      </c>
      <c r="C34" t="s">
        <v>95</v>
      </c>
      <c r="D34" t="s">
        <v>2126</v>
      </c>
      <c r="E34">
        <v>2024</v>
      </c>
      <c r="F34" t="s">
        <v>4845</v>
      </c>
      <c r="G34" s="1033">
        <f>$AB$11/1000000</f>
        <v>1.7490691324783508E-2</v>
      </c>
      <c r="H34" s="52" t="s">
        <v>4861</v>
      </c>
      <c r="I34" s="377">
        <v>1</v>
      </c>
      <c r="J34" s="377">
        <v>1</v>
      </c>
      <c r="K34" s="377">
        <v>1</v>
      </c>
      <c r="L34" s="377">
        <v>3</v>
      </c>
      <c r="M34" s="377">
        <v>1</v>
      </c>
      <c r="N34" s="1044"/>
      <c r="P34" s="1044"/>
      <c r="Q34" s="54" t="s">
        <v>250</v>
      </c>
      <c r="R34" s="13">
        <v>57329588.601949796</v>
      </c>
      <c r="S34" s="1017">
        <v>85279464.267788529</v>
      </c>
      <c r="T34" s="1017">
        <v>61239189.013172396</v>
      </c>
      <c r="U34" s="1017">
        <v>88825018.819771275</v>
      </c>
      <c r="V34" s="1017">
        <v>66081529.373030551</v>
      </c>
      <c r="W34" s="1017">
        <v>70437355.961551875</v>
      </c>
      <c r="X34" s="1017">
        <v>80828560.114173442</v>
      </c>
      <c r="Y34" s="1017">
        <v>91720818.228929758</v>
      </c>
      <c r="Z34" s="1017">
        <v>114436533.16666576</v>
      </c>
      <c r="AA34" s="1017">
        <v>151864278.13028103</v>
      </c>
      <c r="AB34" s="1017">
        <v>86259261.733728945</v>
      </c>
      <c r="AC34" s="1018">
        <v>112935469.50739361</v>
      </c>
      <c r="AE34" s="28" t="s">
        <v>4842</v>
      </c>
      <c r="AJ34" s="85"/>
    </row>
    <row r="35" spans="1:36" x14ac:dyDescent="0.25">
      <c r="A35" t="s">
        <v>4420</v>
      </c>
      <c r="B35" t="s">
        <v>2036</v>
      </c>
      <c r="C35" t="s">
        <v>95</v>
      </c>
      <c r="D35" t="s">
        <v>2126</v>
      </c>
      <c r="E35">
        <v>2024</v>
      </c>
      <c r="F35" t="s">
        <v>4846</v>
      </c>
      <c r="G35" s="1033">
        <f>$AB$12/1000000</f>
        <v>2.8361721443063092E-4</v>
      </c>
      <c r="H35" s="52" t="s">
        <v>4861</v>
      </c>
      <c r="I35" s="377">
        <v>1</v>
      </c>
      <c r="J35" s="377">
        <v>1</v>
      </c>
      <c r="K35" s="377">
        <v>1</v>
      </c>
      <c r="L35" s="377">
        <v>3</v>
      </c>
      <c r="M35" s="377">
        <v>1</v>
      </c>
      <c r="N35" s="1044"/>
      <c r="P35" s="1044"/>
      <c r="Q35" s="54" t="s">
        <v>2350</v>
      </c>
      <c r="R35" s="13">
        <v>24858252.781943817</v>
      </c>
      <c r="S35" s="1017">
        <v>37732424.868623771</v>
      </c>
      <c r="T35" s="1017">
        <v>24047295.713362969</v>
      </c>
      <c r="U35" s="1017">
        <v>37123064.083596528</v>
      </c>
      <c r="V35" s="1017">
        <v>25067135.10700535</v>
      </c>
      <c r="W35" s="1017">
        <v>26162523.148881879</v>
      </c>
      <c r="X35" s="1017">
        <v>19803529.801644567</v>
      </c>
      <c r="Y35" s="1017">
        <v>22569936.904329211</v>
      </c>
      <c r="Z35" s="1017">
        <v>28435703.517560862</v>
      </c>
      <c r="AA35" s="1017">
        <v>37801255.444489129</v>
      </c>
      <c r="AB35" s="1017">
        <v>26912939.59784985</v>
      </c>
      <c r="AC35" s="1018">
        <v>39096939.61998947</v>
      </c>
      <c r="AE35" s="17" t="s">
        <v>4423</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6" x14ac:dyDescent="0.25">
      <c r="A36" t="s">
        <v>1014</v>
      </c>
      <c r="B36" t="s">
        <v>2035</v>
      </c>
      <c r="C36" t="s">
        <v>95</v>
      </c>
      <c r="D36" t="s">
        <v>2126</v>
      </c>
      <c r="E36">
        <v>2024</v>
      </c>
      <c r="F36" t="s">
        <v>4844</v>
      </c>
      <c r="G36" s="1033">
        <f>$R$23/1000000 * SUM($AM$7:$AM$8) + $R$37/1000000 * $AM$9</f>
        <v>7.0251812171361046</v>
      </c>
      <c r="H36" s="52" t="s">
        <v>4861</v>
      </c>
      <c r="I36" s="377">
        <v>1</v>
      </c>
      <c r="J36" s="377">
        <v>1</v>
      </c>
      <c r="K36" s="377">
        <v>1</v>
      </c>
      <c r="L36" s="377">
        <v>3</v>
      </c>
      <c r="M36" s="377">
        <v>1</v>
      </c>
      <c r="N36" s="1044"/>
      <c r="P36" s="1044"/>
      <c r="Q36" s="54" t="s">
        <v>2351</v>
      </c>
      <c r="R36" s="13">
        <v>14375.060684601027</v>
      </c>
      <c r="S36" s="1017">
        <v>13908.059990961636</v>
      </c>
      <c r="T36" s="1017">
        <v>15914.438981196103</v>
      </c>
      <c r="U36" s="1017">
        <v>15319.58704396177</v>
      </c>
      <c r="V36" s="1017">
        <v>16100.33272978461</v>
      </c>
      <c r="W36" s="1017">
        <v>16909.287258952532</v>
      </c>
      <c r="X36" s="1017">
        <v>17380.755919470306</v>
      </c>
      <c r="Y36" s="1017">
        <v>19396.142563978432</v>
      </c>
      <c r="Z36" s="1017">
        <v>23426.211577713566</v>
      </c>
      <c r="AA36" s="1017">
        <v>30347.701534514625</v>
      </c>
      <c r="AB36" s="1017">
        <v>20957.808954871853</v>
      </c>
      <c r="AC36" s="1018">
        <v>20543.131550234699</v>
      </c>
      <c r="AE36" s="17" t="s">
        <v>4424</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6" ht="14.45" customHeight="1" x14ac:dyDescent="0.25">
      <c r="A37" t="s">
        <v>1014</v>
      </c>
      <c r="B37" t="s">
        <v>2037</v>
      </c>
      <c r="C37" t="s">
        <v>95</v>
      </c>
      <c r="D37" t="s">
        <v>2126</v>
      </c>
      <c r="E37">
        <v>2024</v>
      </c>
      <c r="F37" t="s">
        <v>4845</v>
      </c>
      <c r="G37" s="1033">
        <f>$R$25/1000000 * SUM($AM$7:$AM$8) + $R$39/1000000 * $AM$9</f>
        <v>1.5979385925880295E-2</v>
      </c>
      <c r="H37" s="52" t="s">
        <v>4861</v>
      </c>
      <c r="I37" s="377">
        <v>1</v>
      </c>
      <c r="J37" s="377">
        <v>1</v>
      </c>
      <c r="K37" s="377">
        <v>1</v>
      </c>
      <c r="L37" s="377">
        <v>3</v>
      </c>
      <c r="M37" s="377">
        <v>1</v>
      </c>
      <c r="N37" s="1044"/>
      <c r="P37" s="1044"/>
      <c r="Q37" s="239" t="s">
        <v>8</v>
      </c>
      <c r="R37" s="986">
        <v>8398302.9276803043</v>
      </c>
      <c r="S37" s="1019">
        <v>9261393.3615434766</v>
      </c>
      <c r="T37" s="1019">
        <v>9098483.205249114</v>
      </c>
      <c r="U37" s="1019">
        <v>9745876.7346794065</v>
      </c>
      <c r="V37" s="1019">
        <v>9598247.2986620981</v>
      </c>
      <c r="W37" s="1019">
        <v>10106862.637817351</v>
      </c>
      <c r="X37" s="1019">
        <v>10422236.79913678</v>
      </c>
      <c r="Y37" s="1019">
        <v>11672319.629117353</v>
      </c>
      <c r="Z37" s="1019">
        <v>14250470.290730223</v>
      </c>
      <c r="AA37" s="1019">
        <v>18560681.097456522</v>
      </c>
      <c r="AB37" s="1019">
        <v>10687631.044329399</v>
      </c>
      <c r="AC37" s="1020">
        <v>11285139.173893856</v>
      </c>
      <c r="AE37" s="17" t="s">
        <v>2997</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6" x14ac:dyDescent="0.25">
      <c r="A38" t="s">
        <v>1014</v>
      </c>
      <c r="B38" t="s">
        <v>2036</v>
      </c>
      <c r="C38" t="s">
        <v>95</v>
      </c>
      <c r="D38" t="s">
        <v>2126</v>
      </c>
      <c r="E38">
        <v>2024</v>
      </c>
      <c r="F38" t="s">
        <v>4846</v>
      </c>
      <c r="G38" s="1033">
        <f>$R$26/1000000 * SUM($AM$7:$AM$8) + $R$40/1000000 * $AM$9</f>
        <v>2.0928135372672558E-4</v>
      </c>
      <c r="H38" s="52" t="s">
        <v>4861</v>
      </c>
      <c r="I38" s="377">
        <v>1</v>
      </c>
      <c r="J38" s="377">
        <v>1</v>
      </c>
      <c r="K38" s="377">
        <v>1</v>
      </c>
      <c r="L38" s="377">
        <v>3</v>
      </c>
      <c r="M38" s="377">
        <v>1</v>
      </c>
      <c r="N38" s="1044"/>
      <c r="P38" s="1044"/>
      <c r="Q38" s="54" t="s">
        <v>4831</v>
      </c>
      <c r="R38" s="13">
        <v>8636349.1375642586</v>
      </c>
      <c r="S38" s="1017">
        <v>9477504.764294045</v>
      </c>
      <c r="T38" s="1017">
        <v>9341409.2553671207</v>
      </c>
      <c r="U38" s="1017">
        <v>9965277.5386746638</v>
      </c>
      <c r="V38" s="1017">
        <v>9840566.3203824498</v>
      </c>
      <c r="W38" s="1017">
        <v>10350997.388145898</v>
      </c>
      <c r="X38" s="1017">
        <v>10666420.865780957</v>
      </c>
      <c r="Y38" s="1017">
        <v>11920605.705587331</v>
      </c>
      <c r="Z38" s="1017">
        <v>14507474.83358451</v>
      </c>
      <c r="AA38" s="1017">
        <v>18833137.489201464</v>
      </c>
      <c r="AB38" s="1017">
        <v>10931070.166900143</v>
      </c>
      <c r="AC38" s="1018">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6" x14ac:dyDescent="0.25">
      <c r="A39" t="s">
        <v>1015</v>
      </c>
      <c r="B39" t="s">
        <v>2035</v>
      </c>
      <c r="C39" t="s">
        <v>95</v>
      </c>
      <c r="D39" t="s">
        <v>2126</v>
      </c>
      <c r="E39">
        <v>2024</v>
      </c>
      <c r="F39" t="s">
        <v>4844</v>
      </c>
      <c r="G39" s="1033">
        <f>$R$23/1000000 * SUM($AM$7:$AM$8) + $R$39/1000000 * $AM$9</f>
        <v>4.6466455145115146</v>
      </c>
      <c r="H39" s="52" t="s">
        <v>4861</v>
      </c>
      <c r="I39" s="377">
        <v>1</v>
      </c>
      <c r="J39" s="377">
        <v>1</v>
      </c>
      <c r="K39" s="377">
        <v>1</v>
      </c>
      <c r="L39" s="377">
        <v>3</v>
      </c>
      <c r="M39" s="377">
        <v>1</v>
      </c>
      <c r="N39" s="1044"/>
      <c r="P39" s="1044"/>
      <c r="Q39" s="54" t="s">
        <v>14</v>
      </c>
      <c r="R39" s="13">
        <v>18606.585794897284</v>
      </c>
      <c r="S39" s="1017">
        <v>23018.822260856137</v>
      </c>
      <c r="T39" s="1017">
        <v>19668.326303307458</v>
      </c>
      <c r="U39" s="1017">
        <v>23973.72156123531</v>
      </c>
      <c r="V39" s="1017">
        <v>23704.921911812486</v>
      </c>
      <c r="W39" s="1017">
        <v>26173.590722378147</v>
      </c>
      <c r="X39" s="1017">
        <v>32408.758519888277</v>
      </c>
      <c r="Y39" s="1017">
        <v>38605.936512178188</v>
      </c>
      <c r="Z39" s="1017">
        <v>51470.079898764656</v>
      </c>
      <c r="AA39" s="1017">
        <v>72111.090102361282</v>
      </c>
      <c r="AB39" s="1017">
        <v>25040.49985222386</v>
      </c>
      <c r="AC39" s="1018">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row>
    <row r="40" spans="1:36" x14ac:dyDescent="0.25">
      <c r="A40" t="s">
        <v>1015</v>
      </c>
      <c r="B40" t="s">
        <v>2037</v>
      </c>
      <c r="C40" t="s">
        <v>95</v>
      </c>
      <c r="D40" t="s">
        <v>2126</v>
      </c>
      <c r="E40">
        <v>2024</v>
      </c>
      <c r="F40" t="s">
        <v>4845</v>
      </c>
      <c r="G40" s="1033">
        <f>$R$25/1000000 * SUM($AM$7:$AM$8) + $R$39/1000000 * $AM$9</f>
        <v>1.5979385925880295E-2</v>
      </c>
      <c r="H40" s="52" t="s">
        <v>4861</v>
      </c>
      <c r="I40" s="377">
        <v>1</v>
      </c>
      <c r="J40" s="377">
        <v>1</v>
      </c>
      <c r="K40" s="377">
        <v>1</v>
      </c>
      <c r="L40" s="377">
        <v>3</v>
      </c>
      <c r="M40" s="377">
        <v>1</v>
      </c>
      <c r="N40" s="1044"/>
      <c r="P40" s="1044"/>
      <c r="Q40" s="54" t="s">
        <v>10</v>
      </c>
      <c r="R40" s="13">
        <v>230.85348159073783</v>
      </c>
      <c r="S40" s="1017">
        <v>276.6405926501368</v>
      </c>
      <c r="T40" s="1017">
        <v>391.67768585861165</v>
      </c>
      <c r="U40" s="1017">
        <v>355.8371736592984</v>
      </c>
      <c r="V40" s="1017">
        <v>358.23395623497311</v>
      </c>
      <c r="W40" s="1017">
        <v>375.10126157544721</v>
      </c>
      <c r="X40" s="1017">
        <v>346.56893034746872</v>
      </c>
      <c r="Y40" s="1017">
        <v>387.28001885516466</v>
      </c>
      <c r="Z40" s="1017">
        <v>466.49579215587113</v>
      </c>
      <c r="AA40" s="1017">
        <v>603.18027591119755</v>
      </c>
      <c r="AB40" s="1017">
        <v>400.86476534291762</v>
      </c>
      <c r="AC40" s="1018">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row>
    <row r="41" spans="1:36" x14ac:dyDescent="0.25">
      <c r="A41" t="s">
        <v>1015</v>
      </c>
      <c r="B41" t="s">
        <v>2036</v>
      </c>
      <c r="C41" t="s">
        <v>95</v>
      </c>
      <c r="D41" t="s">
        <v>2126</v>
      </c>
      <c r="E41">
        <v>2024</v>
      </c>
      <c r="F41" t="s">
        <v>4846</v>
      </c>
      <c r="G41" s="1033">
        <f>$R$26/1000000 * SUM($AM$7:$AM$8) + $R$40/1000000 * $AM$9</f>
        <v>2.0928135372672558E-4</v>
      </c>
      <c r="H41" s="52" t="s">
        <v>4861</v>
      </c>
      <c r="I41" s="377">
        <v>1</v>
      </c>
      <c r="J41" s="377">
        <v>1</v>
      </c>
      <c r="K41" s="377">
        <v>1</v>
      </c>
      <c r="L41" s="377">
        <v>3</v>
      </c>
      <c r="M41" s="377">
        <v>1</v>
      </c>
      <c r="N41" s="1044"/>
      <c r="P41" s="1044"/>
      <c r="Q41" s="240" t="s">
        <v>897</v>
      </c>
      <c r="R41" s="20">
        <v>9356857.2904589623</v>
      </c>
      <c r="S41" s="1021">
        <v>10406378.718161238</v>
      </c>
      <c r="T41" s="1021">
        <v>10146352.848803332</v>
      </c>
      <c r="U41" s="1021">
        <v>10950934.285120713</v>
      </c>
      <c r="V41" s="1021">
        <v>10739996.460919524</v>
      </c>
      <c r="W41" s="1021">
        <v>11329792.849847883</v>
      </c>
      <c r="X41" s="1021">
        <v>11825355.677174166</v>
      </c>
      <c r="Y41" s="1021">
        <v>13278242.287913419</v>
      </c>
      <c r="Z41" s="1021">
        <v>16277533.497179413</v>
      </c>
      <c r="AA41" s="1021">
        <v>21270347.210426781</v>
      </c>
      <c r="AB41" s="1021">
        <v>11899666.689560497</v>
      </c>
      <c r="AC41" s="1022">
        <v>12669375.025945347</v>
      </c>
      <c r="AE41" s="28" t="s">
        <v>4843</v>
      </c>
    </row>
    <row r="42" spans="1:36" x14ac:dyDescent="0.25">
      <c r="A42" t="s">
        <v>1016</v>
      </c>
      <c r="B42" t="s">
        <v>2035</v>
      </c>
      <c r="C42" t="s">
        <v>95</v>
      </c>
      <c r="D42" t="s">
        <v>2126</v>
      </c>
      <c r="E42">
        <v>2024</v>
      </c>
      <c r="F42" t="s">
        <v>4844</v>
      </c>
      <c r="G42" s="1033">
        <f>$R$23/1000000 * SUM($AM$7:$AM$8) + $R$39/1000000 * $AM$9</f>
        <v>4.6466455145115146</v>
      </c>
      <c r="H42" s="52" t="s">
        <v>4861</v>
      </c>
      <c r="I42" s="377">
        <v>1</v>
      </c>
      <c r="J42" s="377">
        <v>1</v>
      </c>
      <c r="K42" s="377">
        <v>1</v>
      </c>
      <c r="L42" s="377">
        <v>3</v>
      </c>
      <c r="M42" s="377">
        <v>1</v>
      </c>
      <c r="N42" s="1044"/>
      <c r="P42" s="1044"/>
      <c r="AE42" s="17" t="s">
        <v>4423</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6" x14ac:dyDescent="0.25">
      <c r="A43" t="s">
        <v>1016</v>
      </c>
      <c r="B43" t="s">
        <v>2037</v>
      </c>
      <c r="C43" t="s">
        <v>95</v>
      </c>
      <c r="D43" t="s">
        <v>2126</v>
      </c>
      <c r="E43">
        <v>2024</v>
      </c>
      <c r="F43" t="s">
        <v>4845</v>
      </c>
      <c r="G43" s="1033">
        <f>$R$25/1000000 * SUM($AM$7:$AM$8) + $R$39/1000000 * $AM$9</f>
        <v>1.5979385925880295E-2</v>
      </c>
      <c r="H43" s="52" t="s">
        <v>4861</v>
      </c>
      <c r="I43" s="377">
        <v>1</v>
      </c>
      <c r="J43" s="377">
        <v>1</v>
      </c>
      <c r="K43" s="377">
        <v>1</v>
      </c>
      <c r="L43" s="377">
        <v>3</v>
      </c>
      <c r="M43" s="377">
        <v>1</v>
      </c>
      <c r="N43" s="1044"/>
      <c r="P43" s="1044"/>
      <c r="Q43" s="1015" t="s">
        <v>4857</v>
      </c>
      <c r="W43" s="1015" t="s">
        <v>4858</v>
      </c>
      <c r="AE43" s="17" t="s">
        <v>4424</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6" x14ac:dyDescent="0.25">
      <c r="A44" t="s">
        <v>1016</v>
      </c>
      <c r="B44" t="s">
        <v>2036</v>
      </c>
      <c r="C44" t="s">
        <v>95</v>
      </c>
      <c r="D44" t="s">
        <v>2126</v>
      </c>
      <c r="E44">
        <v>2024</v>
      </c>
      <c r="F44" t="s">
        <v>4846</v>
      </c>
      <c r="G44" s="1033">
        <f>$R$26/1000000 * SUM($AM$7:$AM$8) + $R$40/1000000 * $AM$9</f>
        <v>2.0928135372672558E-4</v>
      </c>
      <c r="H44" s="52" t="s">
        <v>4861</v>
      </c>
      <c r="I44" s="377">
        <v>1</v>
      </c>
      <c r="J44" s="377">
        <v>1</v>
      </c>
      <c r="K44" s="377">
        <v>1</v>
      </c>
      <c r="L44" s="377">
        <v>3</v>
      </c>
      <c r="M44" s="377">
        <v>1</v>
      </c>
      <c r="N44" s="1044"/>
      <c r="P44" s="1044"/>
      <c r="Q44" s="1026"/>
      <c r="R44" s="608" t="s">
        <v>4851</v>
      </c>
      <c r="S44" s="608" t="s">
        <v>757</v>
      </c>
      <c r="T44" s="608" t="s">
        <v>1345</v>
      </c>
      <c r="U44" s="607" t="s">
        <v>4852</v>
      </c>
      <c r="W44" s="1026"/>
      <c r="X44" s="608" t="s">
        <v>4851</v>
      </c>
      <c r="Y44" s="608" t="s">
        <v>757</v>
      </c>
      <c r="Z44" s="608" t="s">
        <v>1345</v>
      </c>
      <c r="AA44" s="607" t="s">
        <v>4852</v>
      </c>
      <c r="AE44" s="17" t="s">
        <v>2997</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6" x14ac:dyDescent="0.25">
      <c r="A45" t="s">
        <v>1017</v>
      </c>
      <c r="B45" t="s">
        <v>2035</v>
      </c>
      <c r="C45" t="s">
        <v>95</v>
      </c>
      <c r="D45" t="s">
        <v>2126</v>
      </c>
      <c r="E45">
        <v>2024</v>
      </c>
      <c r="F45" t="s">
        <v>4844</v>
      </c>
      <c r="G45" s="1033">
        <f>$T$23/1000000 * SUM($AM$7:$AM$8) + $T$39/1000000 * $AM$9</f>
        <v>4.9091873669401425</v>
      </c>
      <c r="H45" s="52" t="s">
        <v>4861</v>
      </c>
      <c r="I45" s="377">
        <v>1</v>
      </c>
      <c r="J45" s="377">
        <v>1</v>
      </c>
      <c r="K45" s="377">
        <v>1</v>
      </c>
      <c r="L45" s="377">
        <v>3</v>
      </c>
      <c r="M45" s="377">
        <v>1</v>
      </c>
      <c r="N45" s="1044"/>
      <c r="P45" s="1044"/>
      <c r="Q45" s="1027" t="s">
        <v>2348</v>
      </c>
      <c r="R45" s="1030">
        <v>280255578.43273121</v>
      </c>
      <c r="S45" s="1019">
        <v>286262143.65627038</v>
      </c>
      <c r="T45" s="1019">
        <v>436339873.49117386</v>
      </c>
      <c r="U45" s="1020">
        <v>397025021.81420046</v>
      </c>
      <c r="W45" s="1027" t="s">
        <v>2348</v>
      </c>
      <c r="X45" s="1030">
        <v>937632978.15727437</v>
      </c>
      <c r="Y45" s="1019">
        <v>956240009.53363121</v>
      </c>
      <c r="Z45" s="1019">
        <v>2020101522.5781183</v>
      </c>
      <c r="AA45" s="1020">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6" x14ac:dyDescent="0.25">
      <c r="A46" t="s">
        <v>1017</v>
      </c>
      <c r="B46" t="s">
        <v>2037</v>
      </c>
      <c r="C46" t="s">
        <v>95</v>
      </c>
      <c r="D46" t="s">
        <v>2126</v>
      </c>
      <c r="E46">
        <v>2024</v>
      </c>
      <c r="F46" t="s">
        <v>4845</v>
      </c>
      <c r="G46" s="1033">
        <f>$T$25/1000000 * SUM($AM$7:$AM$8) + $T$39/1000000 * $AM$9</f>
        <v>1.6721872877480781E-2</v>
      </c>
      <c r="H46" s="52" t="s">
        <v>4861</v>
      </c>
      <c r="I46" s="377">
        <v>1</v>
      </c>
      <c r="J46" s="377">
        <v>1</v>
      </c>
      <c r="K46" s="377">
        <v>1</v>
      </c>
      <c r="L46" s="377">
        <v>3</v>
      </c>
      <c r="M46" s="377">
        <v>1</v>
      </c>
      <c r="N46" s="1044"/>
      <c r="P46" s="1044"/>
      <c r="Q46" s="1028" t="s">
        <v>2349</v>
      </c>
      <c r="R46" s="1031">
        <v>240063371.35431078</v>
      </c>
      <c r="S46" s="1017">
        <v>244938007.53571323</v>
      </c>
      <c r="T46" s="1017">
        <v>378208894.97842532</v>
      </c>
      <c r="U46" s="1018">
        <v>339231992.93421435</v>
      </c>
      <c r="W46" s="1028" t="s">
        <v>2349</v>
      </c>
      <c r="X46" s="1031">
        <v>829228756.10362422</v>
      </c>
      <c r="Y46" s="1017">
        <v>845055100.92802</v>
      </c>
      <c r="Z46" s="1017">
        <v>1792791509.7858875</v>
      </c>
      <c r="AA46" s="1018">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row>
    <row r="47" spans="1:36" x14ac:dyDescent="0.25">
      <c r="A47" t="s">
        <v>1017</v>
      </c>
      <c r="B47" t="s">
        <v>2036</v>
      </c>
      <c r="C47" t="s">
        <v>95</v>
      </c>
      <c r="D47" t="s">
        <v>2126</v>
      </c>
      <c r="E47">
        <v>2024</v>
      </c>
      <c r="F47" t="s">
        <v>4846</v>
      </c>
      <c r="G47" s="1033">
        <f>$T$26/1000000 * SUM($AM$7:$AM$8) + $T$40/1000000 * $AM$9</f>
        <v>3.1163827605693766E-4</v>
      </c>
      <c r="H47" s="52" t="s">
        <v>4861</v>
      </c>
      <c r="I47" s="377">
        <v>1</v>
      </c>
      <c r="J47" s="377">
        <v>1</v>
      </c>
      <c r="K47" s="377">
        <v>1</v>
      </c>
      <c r="L47" s="377">
        <v>3</v>
      </c>
      <c r="M47" s="377">
        <v>1</v>
      </c>
      <c r="N47" s="1044"/>
      <c r="P47" s="1044"/>
      <c r="Q47" s="1028" t="s">
        <v>2221</v>
      </c>
      <c r="R47" s="1031">
        <v>87791721.673306167</v>
      </c>
      <c r="S47" s="1017">
        <v>89750384.426900357</v>
      </c>
      <c r="T47" s="1017">
        <v>119477808.32543123</v>
      </c>
      <c r="U47" s="1018">
        <v>105848712.02969564</v>
      </c>
      <c r="W47" s="1028" t="s">
        <v>2221</v>
      </c>
      <c r="X47" s="1031">
        <v>258531325.61383894</v>
      </c>
      <c r="Y47" s="1017">
        <v>263437264.80308551</v>
      </c>
      <c r="Z47" s="1017">
        <v>479232608.90271997</v>
      </c>
      <c r="AA47" s="1018">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row>
    <row r="48" spans="1:36" x14ac:dyDescent="0.25">
      <c r="A48" t="s">
        <v>4391</v>
      </c>
      <c r="B48" t="s">
        <v>2035</v>
      </c>
      <c r="C48" t="s">
        <v>95</v>
      </c>
      <c r="D48" t="s">
        <v>2126</v>
      </c>
      <c r="E48">
        <v>2024</v>
      </c>
      <c r="F48" t="s">
        <v>4844</v>
      </c>
      <c r="G48" s="1033">
        <f>$V$23/1000000 * SUM($AM$7:$AM$8) + $V$39/1000000 * $AM$9</f>
        <v>5.2338114719349509</v>
      </c>
      <c r="H48" s="52" t="s">
        <v>4862</v>
      </c>
      <c r="I48" s="377">
        <v>1</v>
      </c>
      <c r="J48" s="377">
        <v>1</v>
      </c>
      <c r="K48" s="377">
        <v>1</v>
      </c>
      <c r="L48" s="377">
        <v>3</v>
      </c>
      <c r="M48" s="377">
        <v>1</v>
      </c>
      <c r="N48" s="1044"/>
      <c r="P48" s="1044"/>
      <c r="Q48" s="1028" t="s">
        <v>250</v>
      </c>
      <c r="R48" s="1031">
        <v>105869762.96950427</v>
      </c>
      <c r="S48" s="1017">
        <v>108967137.80475132</v>
      </c>
      <c r="T48" s="1017">
        <v>197740854.92267153</v>
      </c>
      <c r="U48" s="1018">
        <v>167165358.71101719</v>
      </c>
      <c r="W48" s="1028" t="s">
        <v>250</v>
      </c>
      <c r="X48" s="1031">
        <v>374145607.01644021</v>
      </c>
      <c r="Y48" s="1017">
        <v>383465391.34230661</v>
      </c>
      <c r="Z48" s="1017">
        <v>995779210.01267147</v>
      </c>
      <c r="AA48" s="1018">
        <v>534854138.28394425</v>
      </c>
    </row>
    <row r="49" spans="1:27" x14ac:dyDescent="0.25">
      <c r="A49" t="s">
        <v>4391</v>
      </c>
      <c r="B49" t="s">
        <v>2037</v>
      </c>
      <c r="C49" t="s">
        <v>95</v>
      </c>
      <c r="D49" t="s">
        <v>2126</v>
      </c>
      <c r="E49">
        <v>2024</v>
      </c>
      <c r="F49" t="s">
        <v>4845</v>
      </c>
      <c r="G49" s="1033">
        <f>$V$25/1000000 * SUM($AM$7:$AM$8) + $V$39/1000000 * $AM$9</f>
        <v>2.0035976073401223E-2</v>
      </c>
      <c r="H49" s="52" t="s">
        <v>4862</v>
      </c>
      <c r="I49" s="377">
        <v>1</v>
      </c>
      <c r="J49" s="377">
        <v>1</v>
      </c>
      <c r="K49" s="377">
        <v>1</v>
      </c>
      <c r="L49" s="377">
        <v>3</v>
      </c>
      <c r="M49" s="377">
        <v>1</v>
      </c>
      <c r="N49" s="1044"/>
      <c r="P49" s="1044"/>
      <c r="Q49" s="1028" t="s">
        <v>2350</v>
      </c>
      <c r="R49" s="1031">
        <v>46401886.711500339</v>
      </c>
      <c r="S49" s="1017">
        <v>46220485.304061547</v>
      </c>
      <c r="T49" s="1017">
        <v>60990231.730322562</v>
      </c>
      <c r="U49" s="1018">
        <v>66217922.19350154</v>
      </c>
      <c r="W49" s="1028" t="s">
        <v>2350</v>
      </c>
      <c r="X49" s="1031">
        <v>196551823.4733451</v>
      </c>
      <c r="Y49" s="1017">
        <v>198152444.78262782</v>
      </c>
      <c r="Z49" s="1017">
        <v>317779690.87049598</v>
      </c>
      <c r="AA49" s="1018">
        <v>232011105.47581974</v>
      </c>
    </row>
    <row r="50" spans="1:27" x14ac:dyDescent="0.25">
      <c r="A50" t="s">
        <v>4391</v>
      </c>
      <c r="B50" t="s">
        <v>2036</v>
      </c>
      <c r="C50" t="s">
        <v>95</v>
      </c>
      <c r="D50" t="s">
        <v>2126</v>
      </c>
      <c r="E50">
        <v>2024</v>
      </c>
      <c r="F50" t="s">
        <v>4846</v>
      </c>
      <c r="G50" s="1033">
        <f>$V$26/1000000 * SUM($AM$7:$AM$8) + $V$40/1000000 * $AM$9</f>
        <v>2.9361008331583641E-4</v>
      </c>
      <c r="H50" s="52" t="s">
        <v>4862</v>
      </c>
      <c r="I50" s="377">
        <v>1</v>
      </c>
      <c r="J50" s="377">
        <v>1</v>
      </c>
      <c r="K50" s="377">
        <v>1</v>
      </c>
      <c r="L50" s="377">
        <v>3</v>
      </c>
      <c r="M50" s="377">
        <v>1</v>
      </c>
      <c r="N50" s="1044"/>
      <c r="P50" s="1044"/>
      <c r="Q50" s="240" t="s">
        <v>2351</v>
      </c>
      <c r="R50" s="1032">
        <v>39998.172352383692</v>
      </c>
      <c r="S50" s="1021">
        <v>41123.530761953036</v>
      </c>
      <c r="T50" s="1021">
        <v>56630.695780881877</v>
      </c>
      <c r="U50" s="1022">
        <v>50084.976171300419</v>
      </c>
      <c r="W50" s="240" t="s">
        <v>2351</v>
      </c>
      <c r="X50" s="1032">
        <v>102924.62890895199</v>
      </c>
      <c r="Y50" s="1021">
        <v>105628.6487327537</v>
      </c>
      <c r="Z50" s="1021">
        <v>214155.48040159978</v>
      </c>
      <c r="AA50" s="1022">
        <v>127469.64711464345</v>
      </c>
    </row>
    <row r="51" spans="1:27" ht="15.75" x14ac:dyDescent="0.3">
      <c r="A51" t="s">
        <v>1019</v>
      </c>
      <c r="B51" t="s">
        <v>2035</v>
      </c>
      <c r="C51" t="s">
        <v>95</v>
      </c>
      <c r="D51" t="s">
        <v>2126</v>
      </c>
      <c r="E51">
        <v>2024</v>
      </c>
      <c r="F51" t="s">
        <v>4844</v>
      </c>
      <c r="G51" s="1033">
        <f>$W$23/1000000 * SUM($AM$7:$AM$8) + $W$39/1000000 * $AM$9</f>
        <v>5.504237737903968</v>
      </c>
      <c r="H51" s="52" t="s">
        <v>4862</v>
      </c>
      <c r="I51" s="377">
        <v>1</v>
      </c>
      <c r="J51" s="377">
        <v>1</v>
      </c>
      <c r="K51" s="377">
        <v>1</v>
      </c>
      <c r="L51" s="377">
        <v>3</v>
      </c>
      <c r="M51" s="377">
        <v>1</v>
      </c>
      <c r="Q51" s="239" t="s">
        <v>4853</v>
      </c>
      <c r="R51" s="1030">
        <v>17829176.068452239</v>
      </c>
      <c r="S51" s="1019">
        <v>18221204.995183613</v>
      </c>
      <c r="T51" s="1019">
        <v>27908674.056869026</v>
      </c>
      <c r="U51" s="1020">
        <v>23371429.562847454</v>
      </c>
      <c r="W51" s="239" t="s">
        <v>4853</v>
      </c>
      <c r="X51" s="1030">
        <v>62402375.765356369</v>
      </c>
      <c r="Y51" s="1019">
        <v>63598722.996312685</v>
      </c>
      <c r="Z51" s="1019">
        <v>130568478.50973338</v>
      </c>
      <c r="AA51" s="1020">
        <v>75486270.174418673</v>
      </c>
    </row>
    <row r="52" spans="1:27" ht="15.75" x14ac:dyDescent="0.3">
      <c r="A52" t="s">
        <v>1019</v>
      </c>
      <c r="B52" t="s">
        <v>2037</v>
      </c>
      <c r="C52" t="s">
        <v>95</v>
      </c>
      <c r="D52" t="s">
        <v>2126</v>
      </c>
      <c r="E52">
        <v>2024</v>
      </c>
      <c r="F52" t="s">
        <v>4845</v>
      </c>
      <c r="G52" s="1033">
        <f>$W$25/1000000 * SUM($AM$7:$AM$8) + $W$39/1000000 * $AM$9</f>
        <v>2.2037463824649179E-2</v>
      </c>
      <c r="H52" s="52" t="s">
        <v>4862</v>
      </c>
      <c r="I52" s="377">
        <v>1</v>
      </c>
      <c r="J52" s="377">
        <v>1</v>
      </c>
      <c r="K52" s="377">
        <v>1</v>
      </c>
      <c r="L52" s="377">
        <v>3</v>
      </c>
      <c r="M52" s="377">
        <v>1</v>
      </c>
      <c r="Q52" s="54" t="s">
        <v>4854</v>
      </c>
      <c r="R52" s="1031">
        <v>18553020.514396701</v>
      </c>
      <c r="S52" s="1017">
        <v>18947021.547185056</v>
      </c>
      <c r="T52" s="1017">
        <v>28666353.296103552</v>
      </c>
      <c r="U52" s="1018">
        <v>24111041.660700254</v>
      </c>
      <c r="W52" s="54" t="s">
        <v>4854</v>
      </c>
      <c r="X52" s="1031">
        <v>63259882.669025481</v>
      </c>
      <c r="Y52" s="1017">
        <v>64461802.856216975</v>
      </c>
      <c r="Z52" s="1017">
        <v>131642712.93438151</v>
      </c>
      <c r="AA52" s="1018">
        <v>76372879.265349269</v>
      </c>
    </row>
    <row r="53" spans="1:27" ht="15.75" x14ac:dyDescent="0.3">
      <c r="A53" t="s">
        <v>1019</v>
      </c>
      <c r="B53" t="s">
        <v>2036</v>
      </c>
      <c r="C53" t="s">
        <v>95</v>
      </c>
      <c r="D53" t="s">
        <v>2126</v>
      </c>
      <c r="E53">
        <v>2024</v>
      </c>
      <c r="F53" t="s">
        <v>4846</v>
      </c>
      <c r="G53" s="1033">
        <f>$W$26/1000000 * SUM($AM$7:$AM$8) + $W$40/1000000 * $AM$9</f>
        <v>3.0696845816114652E-4</v>
      </c>
      <c r="H53" s="52" t="s">
        <v>4862</v>
      </c>
      <c r="I53" s="377">
        <v>1</v>
      </c>
      <c r="J53" s="377">
        <v>1</v>
      </c>
      <c r="K53" s="377">
        <v>1</v>
      </c>
      <c r="L53" s="377">
        <v>3</v>
      </c>
      <c r="M53" s="377">
        <v>1</v>
      </c>
      <c r="Q53" s="54" t="s">
        <v>4855</v>
      </c>
      <c r="R53" s="1031">
        <v>35495.249761499879</v>
      </c>
      <c r="S53" s="1017">
        <v>36811.171461343874</v>
      </c>
      <c r="T53" s="1017">
        <v>87074.065531514352</v>
      </c>
      <c r="U53" s="1018">
        <v>50979.457995770586</v>
      </c>
      <c r="W53" s="54" t="s">
        <v>4855</v>
      </c>
      <c r="X53" s="1031">
        <v>119684.82567552118</v>
      </c>
      <c r="Y53" s="1017">
        <v>124408.7760197117</v>
      </c>
      <c r="Z53" s="1017">
        <v>468803.42068728089</v>
      </c>
      <c r="AA53" s="1018">
        <v>162333.38035970996</v>
      </c>
    </row>
    <row r="54" spans="1:27" ht="15.75" x14ac:dyDescent="0.3">
      <c r="A54" t="s">
        <v>4396</v>
      </c>
      <c r="B54" t="s">
        <v>2035</v>
      </c>
      <c r="C54" t="s">
        <v>95</v>
      </c>
      <c r="D54" t="s">
        <v>2126</v>
      </c>
      <c r="E54">
        <v>2024</v>
      </c>
      <c r="F54" t="s">
        <v>4844</v>
      </c>
      <c r="G54" s="1033">
        <f>$X$23/1000000 * SUM($AM$7:$AM$8) + $X$39/1000000 * $AM$9</f>
        <v>5.5437272668582365</v>
      </c>
      <c r="H54" s="52" t="s">
        <v>4862</v>
      </c>
      <c r="I54" s="377">
        <v>1</v>
      </c>
      <c r="J54" s="377">
        <v>1</v>
      </c>
      <c r="K54" s="377">
        <v>1</v>
      </c>
      <c r="L54" s="377">
        <v>3</v>
      </c>
      <c r="M54" s="377">
        <v>1</v>
      </c>
      <c r="Q54" s="54" t="s">
        <v>4856</v>
      </c>
      <c r="R54" s="1031">
        <v>346.7585971537132</v>
      </c>
      <c r="S54" s="1017">
        <v>372.63206975256151</v>
      </c>
      <c r="T54" s="1017">
        <v>729.88583823402018</v>
      </c>
      <c r="U54" s="1018">
        <v>571.26859172213358</v>
      </c>
      <c r="W54" s="54" t="s">
        <v>4856</v>
      </c>
      <c r="X54" s="1031">
        <v>1249.553412815887</v>
      </c>
      <c r="Y54" s="1017">
        <v>1317.5085746478298</v>
      </c>
      <c r="Z54" s="1017">
        <v>3501.8413360291761</v>
      </c>
      <c r="AA54" s="1018">
        <v>1792.0773570683764</v>
      </c>
    </row>
    <row r="55" spans="1:27" x14ac:dyDescent="0.25">
      <c r="A55" t="s">
        <v>4396</v>
      </c>
      <c r="B55" t="s">
        <v>2037</v>
      </c>
      <c r="C55" t="s">
        <v>95</v>
      </c>
      <c r="D55" t="s">
        <v>2126</v>
      </c>
      <c r="E55">
        <v>2024</v>
      </c>
      <c r="F55" t="s">
        <v>4845</v>
      </c>
      <c r="G55" s="1033">
        <f>$X$25/1000000 * SUM($AM$7:$AM$8) + $X$39/1000000 * $AM$9</f>
        <v>2.6919280330735908E-2</v>
      </c>
      <c r="H55" s="52" t="s">
        <v>4862</v>
      </c>
      <c r="I55" s="377">
        <v>1</v>
      </c>
      <c r="J55" s="377">
        <v>1</v>
      </c>
      <c r="K55" s="377">
        <v>1</v>
      </c>
      <c r="L55" s="377">
        <v>3</v>
      </c>
      <c r="M55" s="377">
        <v>1</v>
      </c>
      <c r="Q55" s="1029" t="s">
        <v>897</v>
      </c>
      <c r="R55" s="1032">
        <v>19913261.772257194</v>
      </c>
      <c r="S55" s="1021">
        <v>20357682.180809237</v>
      </c>
      <c r="T55" s="1021">
        <v>31693071.292766701</v>
      </c>
      <c r="U55" s="1022">
        <v>26014258.697739355</v>
      </c>
      <c r="W55" s="1029" t="s">
        <v>897</v>
      </c>
      <c r="X55" s="1032">
        <v>67674495.996725857</v>
      </c>
      <c r="Y55" s="1021">
        <v>69044122.21497874</v>
      </c>
      <c r="Z55" s="1021">
        <v>147268080.50279087</v>
      </c>
      <c r="AA55" s="1022">
        <v>82248549.464969113</v>
      </c>
    </row>
    <row r="56" spans="1:27" x14ac:dyDescent="0.25">
      <c r="A56" t="s">
        <v>4396</v>
      </c>
      <c r="B56" t="s">
        <v>2036</v>
      </c>
      <c r="C56" t="s">
        <v>95</v>
      </c>
      <c r="D56" t="s">
        <v>2126</v>
      </c>
      <c r="E56">
        <v>2024</v>
      </c>
      <c r="F56" t="s">
        <v>4846</v>
      </c>
      <c r="G56" s="1033">
        <f>$X$26/1000000 * SUM($AM$7:$AM$8) + $X$40/1000000 * $AM$9</f>
        <v>2.8757371290984428E-4</v>
      </c>
      <c r="H56" s="52" t="s">
        <v>4862</v>
      </c>
      <c r="I56" s="377">
        <v>1</v>
      </c>
      <c r="J56" s="377">
        <v>1</v>
      </c>
      <c r="K56" s="377">
        <v>1</v>
      </c>
      <c r="L56" s="377">
        <v>3</v>
      </c>
      <c r="M56" s="377">
        <v>1</v>
      </c>
    </row>
    <row r="57" spans="1:27" x14ac:dyDescent="0.25">
      <c r="A57" t="s">
        <v>1020</v>
      </c>
      <c r="B57" t="s">
        <v>2035</v>
      </c>
      <c r="C57" t="s">
        <v>95</v>
      </c>
      <c r="D57" t="s">
        <v>2126</v>
      </c>
      <c r="E57">
        <v>2024</v>
      </c>
      <c r="F57" t="s">
        <v>4844</v>
      </c>
      <c r="G57" s="1033">
        <f>$Y$23/1000000 * SUM($AM$7:$AM$8) + $Y$39/1000000 * $AM$9</f>
        <v>6.1491704988078153</v>
      </c>
      <c r="H57" s="52" t="s">
        <v>4862</v>
      </c>
      <c r="I57" s="377">
        <v>1</v>
      </c>
      <c r="J57" s="377">
        <v>1</v>
      </c>
      <c r="K57" s="377">
        <v>1</v>
      </c>
      <c r="L57" s="377">
        <v>3</v>
      </c>
      <c r="M57" s="377">
        <v>1</v>
      </c>
      <c r="W57" s="1015" t="s">
        <v>4859</v>
      </c>
    </row>
    <row r="58" spans="1:27" x14ac:dyDescent="0.25">
      <c r="A58" t="s">
        <v>1020</v>
      </c>
      <c r="B58" t="s">
        <v>2037</v>
      </c>
      <c r="C58" t="s">
        <v>95</v>
      </c>
      <c r="D58" t="s">
        <v>2126</v>
      </c>
      <c r="E58">
        <v>2024</v>
      </c>
      <c r="F58" t="s">
        <v>4845</v>
      </c>
      <c r="G58" s="1033">
        <f>$Y$25/1000000 * SUM($AM$7:$AM$8) + $Y$39/1000000 * $AM$9</f>
        <v>3.1627270568296735E-2</v>
      </c>
      <c r="H58" s="52" t="s">
        <v>4862</v>
      </c>
      <c r="I58" s="377">
        <v>1</v>
      </c>
      <c r="J58" s="377">
        <v>1</v>
      </c>
      <c r="K58" s="377">
        <v>1</v>
      </c>
      <c r="L58" s="377">
        <v>3</v>
      </c>
      <c r="M58" s="377">
        <v>1</v>
      </c>
      <c r="W58" s="1026"/>
      <c r="X58" s="608" t="s">
        <v>4851</v>
      </c>
      <c r="Y58" s="608" t="s">
        <v>757</v>
      </c>
      <c r="Z58" s="608" t="s">
        <v>1345</v>
      </c>
      <c r="AA58" s="607" t="s">
        <v>4852</v>
      </c>
    </row>
    <row r="59" spans="1:27" ht="14.45" customHeight="1" x14ac:dyDescent="0.25">
      <c r="A59" t="s">
        <v>1020</v>
      </c>
      <c r="B59" t="s">
        <v>2036</v>
      </c>
      <c r="C59" t="s">
        <v>95</v>
      </c>
      <c r="D59" t="s">
        <v>2126</v>
      </c>
      <c r="E59">
        <v>2024</v>
      </c>
      <c r="F59" t="s">
        <v>4846</v>
      </c>
      <c r="G59" s="1033">
        <f>$Y$26/1000000 * SUM($AM$7:$AM$8) + $Y$40/1000000 * $AM$9</f>
        <v>3.2004849613081348E-4</v>
      </c>
      <c r="H59" s="52" t="s">
        <v>4862</v>
      </c>
      <c r="I59" s="377">
        <v>1</v>
      </c>
      <c r="J59" s="377">
        <v>1</v>
      </c>
      <c r="K59" s="377">
        <v>1</v>
      </c>
      <c r="L59" s="377">
        <v>3</v>
      </c>
      <c r="M59" s="377">
        <v>1</v>
      </c>
      <c r="W59" s="1027" t="s">
        <v>2348</v>
      </c>
      <c r="X59" s="1030">
        <v>967630881.44833565</v>
      </c>
      <c r="Y59" s="1019">
        <v>987591720.16711521</v>
      </c>
      <c r="Z59" s="1019">
        <v>3091600886.8045931</v>
      </c>
      <c r="AA59" s="1020">
        <v>1417997700.8594213</v>
      </c>
    </row>
    <row r="60" spans="1:27" x14ac:dyDescent="0.25">
      <c r="A60" t="s">
        <v>1021</v>
      </c>
      <c r="B60" t="s">
        <v>2035</v>
      </c>
      <c r="C60" t="s">
        <v>95</v>
      </c>
      <c r="D60" t="s">
        <v>2126</v>
      </c>
      <c r="E60">
        <v>2024</v>
      </c>
      <c r="F60" t="s">
        <v>4844</v>
      </c>
      <c r="G60" s="1033">
        <f>$Z$23/1000000 * SUM($AM$7:$AM$8) + $Z$39/1000000 * $AM$9</f>
        <v>7.6411787106870817</v>
      </c>
      <c r="H60" s="52" t="s">
        <v>4862</v>
      </c>
      <c r="I60" s="377">
        <v>1</v>
      </c>
      <c r="J60" s="377">
        <v>1</v>
      </c>
      <c r="K60" s="377">
        <v>1</v>
      </c>
      <c r="L60" s="377">
        <v>3</v>
      </c>
      <c r="M60" s="377">
        <v>1</v>
      </c>
      <c r="W60" s="1028" t="s">
        <v>2349</v>
      </c>
      <c r="X60" s="1031">
        <v>855186507.27576602</v>
      </c>
      <c r="Y60" s="1017">
        <v>872246400.65673447</v>
      </c>
      <c r="Z60" s="1017">
        <v>2749630432.9930978</v>
      </c>
      <c r="AA60" s="1018">
        <v>1239582987.3195775</v>
      </c>
    </row>
    <row r="61" spans="1:27" x14ac:dyDescent="0.25">
      <c r="A61" t="s">
        <v>1021</v>
      </c>
      <c r="B61" t="s">
        <v>2037</v>
      </c>
      <c r="C61" t="s">
        <v>95</v>
      </c>
      <c r="D61" t="s">
        <v>2126</v>
      </c>
      <c r="E61">
        <v>2024</v>
      </c>
      <c r="F61" t="s">
        <v>4845</v>
      </c>
      <c r="G61" s="1033">
        <f>$Z$25/1000000 * SUM($AM$7:$AM$8) + $Z$39/1000000 * $AM$9</f>
        <v>4.2690682179923473E-2</v>
      </c>
      <c r="H61" s="52" t="s">
        <v>4862</v>
      </c>
      <c r="I61" s="377">
        <v>1</v>
      </c>
      <c r="J61" s="377">
        <v>1</v>
      </c>
      <c r="K61" s="377">
        <v>1</v>
      </c>
      <c r="L61" s="377">
        <v>3</v>
      </c>
      <c r="M61" s="377">
        <v>1</v>
      </c>
      <c r="W61" s="1028" t="s">
        <v>2221</v>
      </c>
      <c r="X61" s="1031">
        <v>271559923.38617074</v>
      </c>
      <c r="Y61" s="1017">
        <v>276997034.85545456</v>
      </c>
      <c r="Z61" s="1017">
        <v>706019400.9523133</v>
      </c>
      <c r="AA61" s="1018">
        <v>340640511.38768518</v>
      </c>
    </row>
    <row r="62" spans="1:27" x14ac:dyDescent="0.25">
      <c r="A62" t="s">
        <v>1021</v>
      </c>
      <c r="B62" t="s">
        <v>2036</v>
      </c>
      <c r="C62" t="s">
        <v>95</v>
      </c>
      <c r="D62" t="s">
        <v>2126</v>
      </c>
      <c r="E62">
        <v>2024</v>
      </c>
      <c r="F62" t="s">
        <v>4846</v>
      </c>
      <c r="G62" s="1033">
        <f>$Z$26/1000000 * SUM($AM$7:$AM$8) + $Z$40/1000000 * $AM$9</f>
        <v>3.8831129858152866E-4</v>
      </c>
      <c r="H62" s="52" t="s">
        <v>4862</v>
      </c>
      <c r="I62" s="377">
        <v>1</v>
      </c>
      <c r="J62" s="377">
        <v>1</v>
      </c>
      <c r="K62" s="377">
        <v>1</v>
      </c>
      <c r="L62" s="377">
        <v>3</v>
      </c>
      <c r="M62" s="377">
        <v>1</v>
      </c>
      <c r="W62" s="1028" t="s">
        <v>250</v>
      </c>
      <c r="X62" s="1031">
        <v>384240302.6875996</v>
      </c>
      <c r="Y62" s="1017">
        <v>394055411.56722009</v>
      </c>
      <c r="Z62" s="1017">
        <v>1576920689.7167585</v>
      </c>
      <c r="AA62" s="1018">
        <v>626306560.85685468</v>
      </c>
    </row>
    <row r="63" spans="1:27" x14ac:dyDescent="0.25">
      <c r="A63" t="s">
        <v>1022</v>
      </c>
      <c r="B63" t="s">
        <v>2035</v>
      </c>
      <c r="C63" t="s">
        <v>95</v>
      </c>
      <c r="D63" t="s">
        <v>2126</v>
      </c>
      <c r="E63">
        <v>2024</v>
      </c>
      <c r="F63" t="s">
        <v>4844</v>
      </c>
      <c r="G63" s="1033">
        <f>$AA$23/1000000 * SUM($AM$7:$AM$8) + $AA$39/1000000 * $AM$9</f>
        <v>9.5028011828858823</v>
      </c>
      <c r="H63" s="52" t="s">
        <v>4862</v>
      </c>
      <c r="I63" s="377">
        <v>1</v>
      </c>
      <c r="J63" s="377">
        <v>1</v>
      </c>
      <c r="K63" s="377">
        <v>1</v>
      </c>
      <c r="L63" s="377">
        <v>3</v>
      </c>
      <c r="M63" s="377">
        <v>1</v>
      </c>
      <c r="W63" s="1028" t="s">
        <v>2350</v>
      </c>
      <c r="X63" s="1031">
        <v>199386281.20199567</v>
      </c>
      <c r="Y63" s="1017">
        <v>201193954.23405984</v>
      </c>
      <c r="Z63" s="1017">
        <v>466690342.32402581</v>
      </c>
      <c r="AA63" s="1018">
        <v>272635915.07503754</v>
      </c>
    </row>
    <row r="64" spans="1:27" x14ac:dyDescent="0.25">
      <c r="A64" t="s">
        <v>1022</v>
      </c>
      <c r="B64" t="s">
        <v>2037</v>
      </c>
      <c r="C64" t="s">
        <v>95</v>
      </c>
      <c r="D64" t="s">
        <v>2126</v>
      </c>
      <c r="E64">
        <v>2024</v>
      </c>
      <c r="F64" t="s">
        <v>4845</v>
      </c>
      <c r="G64" s="1033">
        <f>$AA$25/1000000 * SUM($AM$7:$AM$8) + $AA$39/1000000 * $AM$9</f>
        <v>5.754792503087422E-2</v>
      </c>
      <c r="H64" s="52" t="s">
        <v>4862</v>
      </c>
      <c r="I64" s="377">
        <v>1</v>
      </c>
      <c r="J64" s="377">
        <v>1</v>
      </c>
      <c r="K64" s="377">
        <v>1</v>
      </c>
      <c r="L64" s="377">
        <v>3</v>
      </c>
      <c r="M64" s="377">
        <v>1</v>
      </c>
      <c r="W64" s="240" t="s">
        <v>2351</v>
      </c>
      <c r="X64" s="1032">
        <v>106367.053017699</v>
      </c>
      <c r="Y64" s="1021">
        <v>109172.86240631828</v>
      </c>
      <c r="Z64" s="1021">
        <v>321727.37595004437</v>
      </c>
      <c r="AA64" s="1022">
        <v>141547.33388500888</v>
      </c>
    </row>
    <row r="65" spans="1:27" ht="15.75" x14ac:dyDescent="0.3">
      <c r="A65" t="s">
        <v>1022</v>
      </c>
      <c r="B65" t="s">
        <v>2036</v>
      </c>
      <c r="C65" t="s">
        <v>95</v>
      </c>
      <c r="D65" t="s">
        <v>2126</v>
      </c>
      <c r="E65">
        <v>2024</v>
      </c>
      <c r="F65" t="s">
        <v>4846</v>
      </c>
      <c r="G65" s="1033">
        <f>$AA$26/1000000 * SUM($AM$7:$AM$8) + $AA$40/1000000 * $AM$9</f>
        <v>4.8631132377670327E-4</v>
      </c>
      <c r="H65" s="52" t="s">
        <v>4862</v>
      </c>
      <c r="I65" s="377">
        <v>1</v>
      </c>
      <c r="J65" s="377">
        <v>1</v>
      </c>
      <c r="K65" s="377">
        <v>1</v>
      </c>
      <c r="L65" s="377">
        <v>3</v>
      </c>
      <c r="M65" s="377">
        <v>1</v>
      </c>
      <c r="W65" s="239" t="s">
        <v>4853</v>
      </c>
      <c r="X65" s="1030">
        <v>64433005.313018613</v>
      </c>
      <c r="Y65" s="1019">
        <v>65705378.394119635</v>
      </c>
      <c r="Z65" s="1019">
        <v>197579071.31454337</v>
      </c>
      <c r="AA65" s="1020">
        <v>85021058.489277914</v>
      </c>
    </row>
    <row r="66" spans="1:27" ht="15.75" x14ac:dyDescent="0.3">
      <c r="A66" t="s">
        <v>4421</v>
      </c>
      <c r="B66" t="s">
        <v>2035</v>
      </c>
      <c r="C66" t="s">
        <v>95</v>
      </c>
      <c r="D66" t="s">
        <v>2126</v>
      </c>
      <c r="E66">
        <v>2024</v>
      </c>
      <c r="F66" t="s">
        <v>4844</v>
      </c>
      <c r="G66" s="1033">
        <f>$AB$23/1000000 * SUM($AM$7:$AM$8) + $AB$39/1000000 * $AM$9</f>
        <v>5.750177445800718</v>
      </c>
      <c r="H66" s="52" t="s">
        <v>4861</v>
      </c>
      <c r="I66" s="377">
        <v>1</v>
      </c>
      <c r="J66" s="377">
        <v>1</v>
      </c>
      <c r="K66" s="377">
        <v>1</v>
      </c>
      <c r="L66" s="377">
        <v>3</v>
      </c>
      <c r="M66" s="377">
        <v>1</v>
      </c>
      <c r="W66" s="54" t="s">
        <v>4854</v>
      </c>
      <c r="X66" s="1031">
        <v>65134848.469018549</v>
      </c>
      <c r="Y66" s="1017">
        <v>66413166.197644979</v>
      </c>
      <c r="Z66" s="1017">
        <v>198710934.08801022</v>
      </c>
      <c r="AA66" s="1018">
        <v>85770553.018866286</v>
      </c>
    </row>
    <row r="67" spans="1:27" ht="15.75" x14ac:dyDescent="0.3">
      <c r="A67" t="s">
        <v>4421</v>
      </c>
      <c r="B67" t="s">
        <v>2037</v>
      </c>
      <c r="C67" t="s">
        <v>95</v>
      </c>
      <c r="D67" t="s">
        <v>2126</v>
      </c>
      <c r="E67">
        <v>2024</v>
      </c>
      <c r="F67" t="s">
        <v>4845</v>
      </c>
      <c r="G67" s="1033">
        <f>$AB$25/1000000 * SUM($AM$7:$AM$8) + $AB$39/1000000 * $AM$9</f>
        <v>2.1148954333147531E-2</v>
      </c>
      <c r="H67" s="52" t="s">
        <v>4861</v>
      </c>
      <c r="I67" s="377">
        <v>1</v>
      </c>
      <c r="J67" s="377">
        <v>1</v>
      </c>
      <c r="K67" s="377">
        <v>1</v>
      </c>
      <c r="L67" s="377">
        <v>3</v>
      </c>
      <c r="M67" s="377">
        <v>1</v>
      </c>
      <c r="W67" s="54" t="s">
        <v>4855</v>
      </c>
      <c r="X67" s="1031">
        <v>124163.42439712405</v>
      </c>
      <c r="Y67" s="1017">
        <v>129064.97090703627</v>
      </c>
      <c r="Z67" s="1017">
        <v>793556.96328044601</v>
      </c>
      <c r="AA67" s="1018">
        <v>186431.51995498632</v>
      </c>
    </row>
    <row r="68" spans="1:27" ht="15.75" x14ac:dyDescent="0.3">
      <c r="A68" t="s">
        <v>4421</v>
      </c>
      <c r="B68" t="s">
        <v>2036</v>
      </c>
      <c r="C68" t="s">
        <v>95</v>
      </c>
      <c r="D68" t="s">
        <v>2126</v>
      </c>
      <c r="E68">
        <v>2024</v>
      </c>
      <c r="F68" t="s">
        <v>4846</v>
      </c>
      <c r="G68" s="1033">
        <f>$AB$26/1000000 * SUM($AM$7:$AM$8) + $AB$40/1000000 * $AM$9</f>
        <v>3.2796175221271918E-4</v>
      </c>
      <c r="H68" s="52" t="s">
        <v>4861</v>
      </c>
      <c r="I68" s="377">
        <v>1</v>
      </c>
      <c r="J68" s="377">
        <v>1</v>
      </c>
      <c r="K68" s="377">
        <v>1</v>
      </c>
      <c r="L68" s="377">
        <v>3</v>
      </c>
      <c r="M68" s="377">
        <v>1</v>
      </c>
      <c r="W68" s="54" t="s">
        <v>4856</v>
      </c>
      <c r="X68" s="1031">
        <v>1298.1594921487088</v>
      </c>
      <c r="Y68" s="1017">
        <v>1367.7837999639673</v>
      </c>
      <c r="Z68" s="1017">
        <v>5546.866786607372</v>
      </c>
      <c r="AA68" s="1018">
        <v>2009.1613928672959</v>
      </c>
    </row>
    <row r="69" spans="1:27" x14ac:dyDescent="0.25">
      <c r="A69" t="s">
        <v>1033</v>
      </c>
      <c r="B69" t="s">
        <v>2035</v>
      </c>
      <c r="C69" t="s">
        <v>95</v>
      </c>
      <c r="D69" t="s">
        <v>2126</v>
      </c>
      <c r="E69">
        <v>2024</v>
      </c>
      <c r="F69" t="s">
        <v>4844</v>
      </c>
      <c r="G69" s="1033">
        <f>$R$23/1000000 * SUM($AM$7:$AM$8) + $R$37/1000000 * $AM$9</f>
        <v>7.0251812171361046</v>
      </c>
      <c r="H69" s="52" t="s">
        <v>4861</v>
      </c>
      <c r="I69" s="377">
        <v>1</v>
      </c>
      <c r="J69" s="377">
        <v>1</v>
      </c>
      <c r="K69" s="377">
        <v>1</v>
      </c>
      <c r="L69" s="377">
        <v>3</v>
      </c>
      <c r="M69" s="377">
        <v>1</v>
      </c>
      <c r="W69" s="1029" t="s">
        <v>897</v>
      </c>
      <c r="X69" s="1032">
        <v>69712844.332622215</v>
      </c>
      <c r="Y69" s="1021">
        <v>71165013.83910656</v>
      </c>
      <c r="Z69" s="1021">
        <v>224792055.84539014</v>
      </c>
      <c r="AA69" s="1022">
        <v>92459771.341821119</v>
      </c>
    </row>
    <row r="70" spans="1:27" x14ac:dyDescent="0.25">
      <c r="A70" t="s">
        <v>1033</v>
      </c>
      <c r="B70" t="s">
        <v>2037</v>
      </c>
      <c r="C70" t="s">
        <v>95</v>
      </c>
      <c r="D70" t="s">
        <v>2126</v>
      </c>
      <c r="E70">
        <v>2024</v>
      </c>
      <c r="F70" t="s">
        <v>4845</v>
      </c>
      <c r="G70" s="1033">
        <f>$R$25/1000000 * SUM($AM$7:$AM$8) + $R$39/1000000 * $AM$9</f>
        <v>1.5979385925880295E-2</v>
      </c>
      <c r="H70" s="52" t="s">
        <v>4861</v>
      </c>
      <c r="I70" s="377">
        <v>1</v>
      </c>
      <c r="J70" s="377">
        <v>1</v>
      </c>
      <c r="K70" s="377">
        <v>1</v>
      </c>
      <c r="L70" s="377">
        <v>3</v>
      </c>
      <c r="M70" s="377">
        <v>1</v>
      </c>
    </row>
    <row r="71" spans="1:27" x14ac:dyDescent="0.25">
      <c r="A71" t="s">
        <v>1033</v>
      </c>
      <c r="B71" t="s">
        <v>2036</v>
      </c>
      <c r="C71" t="s">
        <v>95</v>
      </c>
      <c r="D71" t="s">
        <v>2126</v>
      </c>
      <c r="E71">
        <v>2024</v>
      </c>
      <c r="F71" t="s">
        <v>4846</v>
      </c>
      <c r="G71" s="1033">
        <f>$R$26/1000000 * SUM($AM$7:$AM$8) + $R$40/1000000 * $AM$9</f>
        <v>2.0928135372672558E-4</v>
      </c>
      <c r="H71" s="52" t="s">
        <v>4861</v>
      </c>
      <c r="I71" s="377">
        <v>1</v>
      </c>
      <c r="J71" s="377">
        <v>1</v>
      </c>
      <c r="K71" s="377">
        <v>1</v>
      </c>
      <c r="L71" s="377">
        <v>3</v>
      </c>
      <c r="M71" s="377">
        <v>1</v>
      </c>
      <c r="Q71" s="593"/>
    </row>
    <row r="72" spans="1:27" x14ac:dyDescent="0.25">
      <c r="A72" t="s">
        <v>1034</v>
      </c>
      <c r="B72" t="s">
        <v>2035</v>
      </c>
      <c r="C72" t="s">
        <v>95</v>
      </c>
      <c r="D72" t="s">
        <v>2126</v>
      </c>
      <c r="E72">
        <v>2024</v>
      </c>
      <c r="F72" t="s">
        <v>4844</v>
      </c>
      <c r="G72" s="1033">
        <f>$R$23/1000000 * SUM($AM$7:$AM$8) + $R$39/1000000 * $AM$9</f>
        <v>4.6466455145115146</v>
      </c>
      <c r="H72" s="52" t="s">
        <v>4861</v>
      </c>
      <c r="I72" s="377">
        <v>1</v>
      </c>
      <c r="J72" s="377">
        <v>1</v>
      </c>
      <c r="K72" s="377">
        <v>1</v>
      </c>
      <c r="L72" s="377">
        <v>3</v>
      </c>
      <c r="M72" s="377">
        <v>1</v>
      </c>
      <c r="R72" s="593"/>
    </row>
    <row r="73" spans="1:27" x14ac:dyDescent="0.25">
      <c r="A73" t="s">
        <v>1034</v>
      </c>
      <c r="B73" t="s">
        <v>2037</v>
      </c>
      <c r="C73" t="s">
        <v>95</v>
      </c>
      <c r="D73" t="s">
        <v>2126</v>
      </c>
      <c r="E73">
        <v>2024</v>
      </c>
      <c r="F73" t="s">
        <v>4845</v>
      </c>
      <c r="G73" s="1033">
        <f>$R$25/1000000 * SUM($AM$7:$AM$8) + $R$39/1000000 * $AM$9</f>
        <v>1.5979385925880295E-2</v>
      </c>
      <c r="H73" s="52" t="s">
        <v>4861</v>
      </c>
      <c r="I73" s="377">
        <v>1</v>
      </c>
      <c r="J73" s="377">
        <v>1</v>
      </c>
      <c r="K73" s="377">
        <v>1</v>
      </c>
      <c r="L73" s="377">
        <v>3</v>
      </c>
      <c r="M73" s="377">
        <v>1</v>
      </c>
    </row>
    <row r="74" spans="1:27" x14ac:dyDescent="0.25">
      <c r="A74" t="s">
        <v>1034</v>
      </c>
      <c r="B74" t="s">
        <v>2036</v>
      </c>
      <c r="C74" t="s">
        <v>95</v>
      </c>
      <c r="D74" t="s">
        <v>2126</v>
      </c>
      <c r="E74">
        <v>2024</v>
      </c>
      <c r="F74" t="s">
        <v>4846</v>
      </c>
      <c r="G74" s="1033">
        <f>$R$26/1000000 * SUM($AM$7:$AM$8) + $R$40/1000000 * $AM$9</f>
        <v>2.0928135372672558E-4</v>
      </c>
      <c r="H74" s="52" t="s">
        <v>4861</v>
      </c>
      <c r="I74" s="377">
        <v>1</v>
      </c>
      <c r="J74" s="377">
        <v>1</v>
      </c>
      <c r="K74" s="377">
        <v>1</v>
      </c>
      <c r="L74" s="377">
        <v>3</v>
      </c>
      <c r="M74" s="377">
        <v>1</v>
      </c>
    </row>
    <row r="75" spans="1:27" x14ac:dyDescent="0.25">
      <c r="A75" t="s">
        <v>1035</v>
      </c>
      <c r="B75" t="s">
        <v>2035</v>
      </c>
      <c r="C75" t="s">
        <v>95</v>
      </c>
      <c r="D75" t="s">
        <v>2126</v>
      </c>
      <c r="E75">
        <v>2024</v>
      </c>
      <c r="F75" t="s">
        <v>4844</v>
      </c>
      <c r="G75" s="1033">
        <f>$R$23/1000000 * SUM($AM$7:$AM$8) + $R$39/1000000 * $AM$9</f>
        <v>4.6466455145115146</v>
      </c>
      <c r="H75" s="52" t="s">
        <v>4861</v>
      </c>
      <c r="I75" s="377">
        <v>1</v>
      </c>
      <c r="J75" s="377">
        <v>1</v>
      </c>
      <c r="K75" s="377">
        <v>1</v>
      </c>
      <c r="L75" s="377">
        <v>3</v>
      </c>
      <c r="M75" s="377">
        <v>1</v>
      </c>
      <c r="R75" s="593"/>
    </row>
    <row r="76" spans="1:27" x14ac:dyDescent="0.25">
      <c r="A76" t="s">
        <v>1035</v>
      </c>
      <c r="B76" t="s">
        <v>2037</v>
      </c>
      <c r="C76" t="s">
        <v>95</v>
      </c>
      <c r="D76" t="s">
        <v>2126</v>
      </c>
      <c r="E76">
        <v>2024</v>
      </c>
      <c r="F76" t="s">
        <v>4845</v>
      </c>
      <c r="G76" s="1033">
        <f>$R$25/1000000 * SUM($AM$7:$AM$8) + $R$39/1000000 * $AM$9</f>
        <v>1.5979385925880295E-2</v>
      </c>
      <c r="H76" s="52" t="s">
        <v>4861</v>
      </c>
      <c r="I76" s="377">
        <v>1</v>
      </c>
      <c r="J76" s="377">
        <v>1</v>
      </c>
      <c r="K76" s="377">
        <v>1</v>
      </c>
      <c r="L76" s="377">
        <v>3</v>
      </c>
      <c r="M76" s="377">
        <v>1</v>
      </c>
      <c r="R76" s="593"/>
    </row>
    <row r="77" spans="1:27" x14ac:dyDescent="0.25">
      <c r="A77" t="s">
        <v>1035</v>
      </c>
      <c r="B77" t="s">
        <v>2036</v>
      </c>
      <c r="C77" t="s">
        <v>95</v>
      </c>
      <c r="D77" t="s">
        <v>2126</v>
      </c>
      <c r="E77">
        <v>2024</v>
      </c>
      <c r="F77" t="s">
        <v>4846</v>
      </c>
      <c r="G77" s="1033">
        <f>$R$26/1000000 * SUM($AM$7:$AM$8) + $R$40/1000000 * $AM$9</f>
        <v>2.0928135372672558E-4</v>
      </c>
      <c r="H77" s="52" t="s">
        <v>4861</v>
      </c>
      <c r="I77" s="377">
        <v>1</v>
      </c>
      <c r="J77" s="377">
        <v>1</v>
      </c>
      <c r="K77" s="377">
        <v>1</v>
      </c>
      <c r="L77" s="377">
        <v>3</v>
      </c>
      <c r="M77" s="377">
        <v>1</v>
      </c>
      <c r="R77" s="593"/>
    </row>
    <row r="78" spans="1:27" x14ac:dyDescent="0.25">
      <c r="A78" t="s">
        <v>1036</v>
      </c>
      <c r="B78" t="s">
        <v>2035</v>
      </c>
      <c r="C78" t="s">
        <v>95</v>
      </c>
      <c r="D78" t="s">
        <v>2126</v>
      </c>
      <c r="E78">
        <v>2024</v>
      </c>
      <c r="F78" t="s">
        <v>4844</v>
      </c>
      <c r="G78" s="1033">
        <f>$T$23/1000000 * SUM($AM$7:$AM$8) + $T$39/1000000 * $AM$9</f>
        <v>4.9091873669401425</v>
      </c>
      <c r="H78" s="52" t="s">
        <v>4861</v>
      </c>
      <c r="I78" s="377">
        <v>1</v>
      </c>
      <c r="J78" s="377">
        <v>1</v>
      </c>
      <c r="K78" s="377">
        <v>1</v>
      </c>
      <c r="L78" s="377">
        <v>3</v>
      </c>
      <c r="M78" s="377">
        <v>1</v>
      </c>
    </row>
    <row r="79" spans="1:27" x14ac:dyDescent="0.25">
      <c r="A79" t="s">
        <v>1036</v>
      </c>
      <c r="B79" t="s">
        <v>2037</v>
      </c>
      <c r="C79" t="s">
        <v>95</v>
      </c>
      <c r="D79" t="s">
        <v>2126</v>
      </c>
      <c r="E79">
        <v>2024</v>
      </c>
      <c r="F79" t="s">
        <v>4845</v>
      </c>
      <c r="G79" s="1033">
        <f>$T$25/1000000 * SUM($AM$7:$AM$8) + $T$39/1000000 * $AM$9</f>
        <v>1.6721872877480781E-2</v>
      </c>
      <c r="H79" s="52" t="s">
        <v>4861</v>
      </c>
      <c r="I79" s="377">
        <v>1</v>
      </c>
      <c r="J79" s="377">
        <v>1</v>
      </c>
      <c r="K79" s="377">
        <v>1</v>
      </c>
      <c r="L79" s="377">
        <v>3</v>
      </c>
      <c r="M79" s="377">
        <v>1</v>
      </c>
    </row>
    <row r="80" spans="1:27" x14ac:dyDescent="0.25">
      <c r="A80" t="s">
        <v>1036</v>
      </c>
      <c r="B80" t="s">
        <v>2036</v>
      </c>
      <c r="C80" t="s">
        <v>95</v>
      </c>
      <c r="D80" t="s">
        <v>2126</v>
      </c>
      <c r="E80">
        <v>2024</v>
      </c>
      <c r="F80" t="s">
        <v>4846</v>
      </c>
      <c r="G80" s="1033">
        <f>$T$26/1000000 * SUM($AM$7:$AM$8) + $T$40/1000000 * $AM$9</f>
        <v>3.1163827605693766E-4</v>
      </c>
      <c r="H80" s="52" t="s">
        <v>4861</v>
      </c>
      <c r="I80" s="377">
        <v>1</v>
      </c>
      <c r="J80" s="377">
        <v>1</v>
      </c>
      <c r="K80" s="377">
        <v>1</v>
      </c>
      <c r="L80" s="377">
        <v>3</v>
      </c>
      <c r="M80" s="377">
        <v>1</v>
      </c>
    </row>
    <row r="81" spans="1:18" x14ac:dyDescent="0.25">
      <c r="A81" t="s">
        <v>4392</v>
      </c>
      <c r="B81" t="s">
        <v>2035</v>
      </c>
      <c r="C81" t="s">
        <v>95</v>
      </c>
      <c r="D81" t="s">
        <v>2126</v>
      </c>
      <c r="E81">
        <v>2024</v>
      </c>
      <c r="F81" t="s">
        <v>4844</v>
      </c>
      <c r="G81" s="1033">
        <f>$V$23/1000000 * SUM($AM$7:$AM$8) + $V$39/1000000 * $AM$9</f>
        <v>5.2338114719349509</v>
      </c>
      <c r="H81" s="52" t="s">
        <v>4862</v>
      </c>
      <c r="I81" s="377">
        <v>1</v>
      </c>
      <c r="J81" s="377">
        <v>1</v>
      </c>
      <c r="K81" s="377">
        <v>1</v>
      </c>
      <c r="L81" s="377">
        <v>3</v>
      </c>
      <c r="M81" s="377">
        <v>1</v>
      </c>
    </row>
    <row r="82" spans="1:18" x14ac:dyDescent="0.25">
      <c r="A82" t="s">
        <v>4392</v>
      </c>
      <c r="B82" t="s">
        <v>2037</v>
      </c>
      <c r="C82" t="s">
        <v>95</v>
      </c>
      <c r="D82" t="s">
        <v>2126</v>
      </c>
      <c r="E82">
        <v>2024</v>
      </c>
      <c r="F82" t="s">
        <v>4845</v>
      </c>
      <c r="G82" s="1033">
        <f>$V$25/1000000 * SUM($AM$7:$AM$8) + $V$39/1000000 * $AM$9</f>
        <v>2.0035976073401223E-2</v>
      </c>
      <c r="H82" s="52" t="s">
        <v>4862</v>
      </c>
      <c r="I82" s="377">
        <v>1</v>
      </c>
      <c r="J82" s="377">
        <v>1</v>
      </c>
      <c r="K82" s="377">
        <v>1</v>
      </c>
      <c r="L82" s="377">
        <v>3</v>
      </c>
      <c r="M82" s="377">
        <v>1</v>
      </c>
    </row>
    <row r="83" spans="1:18" x14ac:dyDescent="0.25">
      <c r="A83" t="s">
        <v>4392</v>
      </c>
      <c r="B83" t="s">
        <v>2036</v>
      </c>
      <c r="C83" t="s">
        <v>95</v>
      </c>
      <c r="D83" t="s">
        <v>2126</v>
      </c>
      <c r="E83">
        <v>2024</v>
      </c>
      <c r="F83" t="s">
        <v>4846</v>
      </c>
      <c r="G83" s="1033">
        <f>$V$26/1000000 * SUM($AM$7:$AM$8) + $V$40/1000000 * $AM$9</f>
        <v>2.9361008331583641E-4</v>
      </c>
      <c r="H83" s="52" t="s">
        <v>4862</v>
      </c>
      <c r="I83" s="377">
        <v>1</v>
      </c>
      <c r="J83" s="377">
        <v>1</v>
      </c>
      <c r="K83" s="377">
        <v>1</v>
      </c>
      <c r="L83" s="377">
        <v>3</v>
      </c>
      <c r="M83" s="377">
        <v>1</v>
      </c>
    </row>
    <row r="84" spans="1:18" x14ac:dyDescent="0.25">
      <c r="A84" t="s">
        <v>1037</v>
      </c>
      <c r="B84" t="s">
        <v>2035</v>
      </c>
      <c r="C84" t="s">
        <v>95</v>
      </c>
      <c r="D84" t="s">
        <v>2126</v>
      </c>
      <c r="E84">
        <v>2024</v>
      </c>
      <c r="F84" t="s">
        <v>4844</v>
      </c>
      <c r="G84" s="1033">
        <f>$W$23/1000000 * SUM($AM$7:$AM$8) + $W$39/1000000 * $AM$9</f>
        <v>5.504237737903968</v>
      </c>
      <c r="H84" s="52" t="s">
        <v>4862</v>
      </c>
      <c r="I84" s="377">
        <v>1</v>
      </c>
      <c r="J84" s="377">
        <v>1</v>
      </c>
      <c r="K84" s="377">
        <v>1</v>
      </c>
      <c r="L84" s="377">
        <v>3</v>
      </c>
      <c r="M84" s="377">
        <v>1</v>
      </c>
      <c r="R84" s="593"/>
    </row>
    <row r="85" spans="1:18" x14ac:dyDescent="0.25">
      <c r="A85" t="s">
        <v>1037</v>
      </c>
      <c r="B85" t="s">
        <v>2037</v>
      </c>
      <c r="C85" t="s">
        <v>95</v>
      </c>
      <c r="D85" t="s">
        <v>2126</v>
      </c>
      <c r="E85">
        <v>2024</v>
      </c>
      <c r="F85" t="s">
        <v>4845</v>
      </c>
      <c r="G85" s="1033">
        <f>$W$25/1000000 * SUM($AM$7:$AM$8) + $W$39/1000000 * $AM$9</f>
        <v>2.2037463824649179E-2</v>
      </c>
      <c r="H85" s="52" t="s">
        <v>4862</v>
      </c>
      <c r="I85" s="377">
        <v>1</v>
      </c>
      <c r="J85" s="377">
        <v>1</v>
      </c>
      <c r="K85" s="377">
        <v>1</v>
      </c>
      <c r="L85" s="377">
        <v>3</v>
      </c>
      <c r="M85" s="377">
        <v>1</v>
      </c>
    </row>
    <row r="86" spans="1:18" x14ac:dyDescent="0.25">
      <c r="A86" t="s">
        <v>1037</v>
      </c>
      <c r="B86" t="s">
        <v>2036</v>
      </c>
      <c r="C86" t="s">
        <v>95</v>
      </c>
      <c r="D86" t="s">
        <v>2126</v>
      </c>
      <c r="E86">
        <v>2024</v>
      </c>
      <c r="F86" t="s">
        <v>4846</v>
      </c>
      <c r="G86" s="1033">
        <f>$W$26/1000000 * SUM($AM$7:$AM$8) + $W$40/1000000 * $AM$9</f>
        <v>3.0696845816114652E-4</v>
      </c>
      <c r="H86" s="52" t="s">
        <v>4862</v>
      </c>
      <c r="I86" s="377">
        <v>1</v>
      </c>
      <c r="J86" s="377">
        <v>1</v>
      </c>
      <c r="K86" s="377">
        <v>1</v>
      </c>
      <c r="L86" s="377">
        <v>3</v>
      </c>
      <c r="M86" s="377">
        <v>1</v>
      </c>
    </row>
    <row r="87" spans="1:18" x14ac:dyDescent="0.25">
      <c r="A87" t="s">
        <v>4397</v>
      </c>
      <c r="B87" t="s">
        <v>2035</v>
      </c>
      <c r="C87" t="s">
        <v>95</v>
      </c>
      <c r="D87" t="s">
        <v>2126</v>
      </c>
      <c r="E87">
        <v>2024</v>
      </c>
      <c r="F87" t="s">
        <v>4844</v>
      </c>
      <c r="G87" s="1033">
        <f>$X$23/1000000 * SUM($AM$7:$AM$8) + $X$39/1000000 * $AM$9</f>
        <v>5.5437272668582365</v>
      </c>
      <c r="H87" s="52" t="s">
        <v>4862</v>
      </c>
      <c r="I87" s="377">
        <v>1</v>
      </c>
      <c r="J87" s="377">
        <v>1</v>
      </c>
      <c r="K87" s="377">
        <v>1</v>
      </c>
      <c r="L87" s="377">
        <v>3</v>
      </c>
      <c r="M87" s="377">
        <v>1</v>
      </c>
    </row>
    <row r="88" spans="1:18" x14ac:dyDescent="0.25">
      <c r="A88" t="s">
        <v>4397</v>
      </c>
      <c r="B88" t="s">
        <v>2037</v>
      </c>
      <c r="C88" t="s">
        <v>95</v>
      </c>
      <c r="D88" t="s">
        <v>2126</v>
      </c>
      <c r="E88">
        <v>2024</v>
      </c>
      <c r="F88" t="s">
        <v>4845</v>
      </c>
      <c r="G88" s="1033">
        <f>$X$25/1000000 * SUM($AM$7:$AM$8) + $X$39/1000000 * $AM$9</f>
        <v>2.6919280330735908E-2</v>
      </c>
      <c r="H88" s="52" t="s">
        <v>4862</v>
      </c>
      <c r="I88" s="377">
        <v>1</v>
      </c>
      <c r="J88" s="377">
        <v>1</v>
      </c>
      <c r="K88" s="377">
        <v>1</v>
      </c>
      <c r="L88" s="377">
        <v>3</v>
      </c>
      <c r="M88" s="377">
        <v>1</v>
      </c>
    </row>
    <row r="89" spans="1:18" x14ac:dyDescent="0.25">
      <c r="A89" t="s">
        <v>4397</v>
      </c>
      <c r="B89" t="s">
        <v>2036</v>
      </c>
      <c r="C89" t="s">
        <v>95</v>
      </c>
      <c r="D89" t="s">
        <v>2126</v>
      </c>
      <c r="E89">
        <v>2024</v>
      </c>
      <c r="F89" t="s">
        <v>4846</v>
      </c>
      <c r="G89" s="1033">
        <f>$X$26/1000000 * SUM($AM$7:$AM$8) + $X$40/1000000 * $AM$9</f>
        <v>2.8757371290984428E-4</v>
      </c>
      <c r="H89" s="52" t="s">
        <v>4862</v>
      </c>
      <c r="I89" s="377">
        <v>1</v>
      </c>
      <c r="J89" s="377">
        <v>1</v>
      </c>
      <c r="K89" s="377">
        <v>1</v>
      </c>
      <c r="L89" s="377">
        <v>3</v>
      </c>
      <c r="M89" s="377">
        <v>1</v>
      </c>
    </row>
    <row r="90" spans="1:18" x14ac:dyDescent="0.25">
      <c r="A90" t="s">
        <v>1038</v>
      </c>
      <c r="B90" t="s">
        <v>2035</v>
      </c>
      <c r="C90" t="s">
        <v>95</v>
      </c>
      <c r="D90" t="s">
        <v>2126</v>
      </c>
      <c r="E90">
        <v>2024</v>
      </c>
      <c r="F90" t="s">
        <v>4844</v>
      </c>
      <c r="G90" s="1033">
        <f>$Y$23/1000000 * SUM($AM$7:$AM$8) + $Y$39/1000000 * $AM$9</f>
        <v>6.1491704988078153</v>
      </c>
      <c r="H90" s="52" t="s">
        <v>4862</v>
      </c>
      <c r="I90" s="377">
        <v>1</v>
      </c>
      <c r="J90" s="377">
        <v>1</v>
      </c>
      <c r="K90" s="377">
        <v>1</v>
      </c>
      <c r="L90" s="377">
        <v>3</v>
      </c>
      <c r="M90" s="377">
        <v>1</v>
      </c>
      <c r="Q90" s="593"/>
    </row>
    <row r="91" spans="1:18" x14ac:dyDescent="0.25">
      <c r="A91" t="s">
        <v>1038</v>
      </c>
      <c r="B91" t="s">
        <v>2037</v>
      </c>
      <c r="C91" t="s">
        <v>95</v>
      </c>
      <c r="D91" t="s">
        <v>2126</v>
      </c>
      <c r="E91">
        <v>2024</v>
      </c>
      <c r="F91" t="s">
        <v>4845</v>
      </c>
      <c r="G91" s="1033">
        <f>$Y$25/1000000 * SUM($AM$7:$AM$8) + $Y$39/1000000 * $AM$9</f>
        <v>3.1627270568296735E-2</v>
      </c>
      <c r="H91" s="52" t="s">
        <v>4862</v>
      </c>
      <c r="I91" s="377">
        <v>1</v>
      </c>
      <c r="J91" s="377">
        <v>1</v>
      </c>
      <c r="K91" s="377">
        <v>1</v>
      </c>
      <c r="L91" s="377">
        <v>3</v>
      </c>
      <c r="M91" s="377">
        <v>1</v>
      </c>
    </row>
    <row r="92" spans="1:18" x14ac:dyDescent="0.25">
      <c r="A92" t="s">
        <v>1038</v>
      </c>
      <c r="B92" t="s">
        <v>2036</v>
      </c>
      <c r="C92" t="s">
        <v>95</v>
      </c>
      <c r="D92" t="s">
        <v>2126</v>
      </c>
      <c r="E92">
        <v>2024</v>
      </c>
      <c r="F92" t="s">
        <v>4846</v>
      </c>
      <c r="G92" s="1033">
        <f>$Y$26/1000000 * SUM($AM$7:$AM$8) + $Y$40/1000000 * $AM$9</f>
        <v>3.2004849613081348E-4</v>
      </c>
      <c r="H92" s="52" t="s">
        <v>4862</v>
      </c>
      <c r="I92" s="377">
        <v>1</v>
      </c>
      <c r="J92" s="377">
        <v>1</v>
      </c>
      <c r="K92" s="377">
        <v>1</v>
      </c>
      <c r="L92" s="377">
        <v>3</v>
      </c>
      <c r="M92" s="377">
        <v>1</v>
      </c>
    </row>
    <row r="93" spans="1:18" x14ac:dyDescent="0.25">
      <c r="A93" t="s">
        <v>1039</v>
      </c>
      <c r="B93" t="s">
        <v>2035</v>
      </c>
      <c r="C93" t="s">
        <v>95</v>
      </c>
      <c r="D93" t="s">
        <v>2126</v>
      </c>
      <c r="E93">
        <v>2024</v>
      </c>
      <c r="F93" t="s">
        <v>4844</v>
      </c>
      <c r="G93" s="1033">
        <f>$Z$23/1000000 * SUM($AM$7:$AM$8) + $Z$39/1000000 * $AM$9</f>
        <v>7.6411787106870817</v>
      </c>
      <c r="H93" s="52" t="s">
        <v>4862</v>
      </c>
      <c r="I93" s="377">
        <v>1</v>
      </c>
      <c r="J93" s="377">
        <v>1</v>
      </c>
      <c r="K93" s="377">
        <v>1</v>
      </c>
      <c r="L93" s="377">
        <v>3</v>
      </c>
      <c r="M93" s="377">
        <v>1</v>
      </c>
    </row>
    <row r="94" spans="1:18" x14ac:dyDescent="0.25">
      <c r="A94" t="s">
        <v>1039</v>
      </c>
      <c r="B94" t="s">
        <v>2037</v>
      </c>
      <c r="C94" t="s">
        <v>95</v>
      </c>
      <c r="D94" t="s">
        <v>2126</v>
      </c>
      <c r="E94">
        <v>2024</v>
      </c>
      <c r="F94" t="s">
        <v>4845</v>
      </c>
      <c r="G94" s="1033">
        <f>$Z$25/1000000 * SUM($AM$7:$AM$8) + $Z$39/1000000 * $AM$9</f>
        <v>4.2690682179923473E-2</v>
      </c>
      <c r="H94" s="52" t="s">
        <v>4862</v>
      </c>
      <c r="I94" s="377">
        <v>1</v>
      </c>
      <c r="J94" s="377">
        <v>1</v>
      </c>
      <c r="K94" s="377">
        <v>1</v>
      </c>
      <c r="L94" s="377">
        <v>3</v>
      </c>
      <c r="M94" s="377">
        <v>1</v>
      </c>
    </row>
    <row r="95" spans="1:18" x14ac:dyDescent="0.25">
      <c r="A95" t="s">
        <v>1039</v>
      </c>
      <c r="B95" t="s">
        <v>2036</v>
      </c>
      <c r="C95" t="s">
        <v>95</v>
      </c>
      <c r="D95" t="s">
        <v>2126</v>
      </c>
      <c r="E95">
        <v>2024</v>
      </c>
      <c r="F95" t="s">
        <v>4846</v>
      </c>
      <c r="G95" s="1033">
        <f>$Z$26/1000000 * SUM($AM$7:$AM$8) + $Z$40/1000000 * $AM$9</f>
        <v>3.8831129858152866E-4</v>
      </c>
      <c r="H95" s="52" t="s">
        <v>4862</v>
      </c>
      <c r="I95" s="377">
        <v>1</v>
      </c>
      <c r="J95" s="377">
        <v>1</v>
      </c>
      <c r="K95" s="377">
        <v>1</v>
      </c>
      <c r="L95" s="377">
        <v>3</v>
      </c>
      <c r="M95" s="377">
        <v>1</v>
      </c>
    </row>
    <row r="96" spans="1:18" x14ac:dyDescent="0.25">
      <c r="A96" t="s">
        <v>1040</v>
      </c>
      <c r="B96" t="s">
        <v>2035</v>
      </c>
      <c r="C96" t="s">
        <v>95</v>
      </c>
      <c r="D96" t="s">
        <v>2126</v>
      </c>
      <c r="E96">
        <v>2024</v>
      </c>
      <c r="F96" t="s">
        <v>4844</v>
      </c>
      <c r="G96" s="1033">
        <f>$AA$23/1000000 * SUM($AM$7:$AM$8) + $AA$39/1000000 * $AM$9</f>
        <v>9.5028011828858823</v>
      </c>
      <c r="H96" s="52" t="s">
        <v>4862</v>
      </c>
      <c r="I96" s="377">
        <v>1</v>
      </c>
      <c r="J96" s="377">
        <v>1</v>
      </c>
      <c r="K96" s="377">
        <v>1</v>
      </c>
      <c r="L96" s="377">
        <v>3</v>
      </c>
      <c r="M96" s="377">
        <v>1</v>
      </c>
    </row>
    <row r="97" spans="1:13" x14ac:dyDescent="0.25">
      <c r="A97" t="s">
        <v>1040</v>
      </c>
      <c r="B97" t="s">
        <v>2037</v>
      </c>
      <c r="C97" t="s">
        <v>95</v>
      </c>
      <c r="D97" t="s">
        <v>2126</v>
      </c>
      <c r="E97">
        <v>2024</v>
      </c>
      <c r="F97" t="s">
        <v>4845</v>
      </c>
      <c r="G97" s="1033">
        <f>$AA$25/1000000 * SUM($AM$7:$AM$8) + $AA$39/1000000 * $AM$9</f>
        <v>5.754792503087422E-2</v>
      </c>
      <c r="H97" s="52" t="s">
        <v>4862</v>
      </c>
      <c r="I97" s="377">
        <v>1</v>
      </c>
      <c r="J97" s="377">
        <v>1</v>
      </c>
      <c r="K97" s="377">
        <v>1</v>
      </c>
      <c r="L97" s="377">
        <v>3</v>
      </c>
      <c r="M97" s="377">
        <v>1</v>
      </c>
    </row>
    <row r="98" spans="1:13" x14ac:dyDescent="0.25">
      <c r="A98" t="s">
        <v>1040</v>
      </c>
      <c r="B98" t="s">
        <v>2036</v>
      </c>
      <c r="C98" t="s">
        <v>95</v>
      </c>
      <c r="D98" t="s">
        <v>2126</v>
      </c>
      <c r="E98">
        <v>2024</v>
      </c>
      <c r="F98" t="s">
        <v>4846</v>
      </c>
      <c r="G98" s="1033">
        <f>$AA$26/1000000 * SUM($AM$7:$AM$8) + $AA$40/1000000 * $AM$9</f>
        <v>4.8631132377670327E-4</v>
      </c>
      <c r="H98" s="52" t="s">
        <v>4862</v>
      </c>
      <c r="I98" s="377">
        <v>1</v>
      </c>
      <c r="J98" s="377">
        <v>1</v>
      </c>
      <c r="K98" s="377">
        <v>1</v>
      </c>
      <c r="L98" s="377">
        <v>3</v>
      </c>
      <c r="M98" s="377">
        <v>1</v>
      </c>
    </row>
    <row r="99" spans="1:13" x14ac:dyDescent="0.25">
      <c r="A99" t="s">
        <v>4422</v>
      </c>
      <c r="B99" t="s">
        <v>2035</v>
      </c>
      <c r="C99" t="s">
        <v>95</v>
      </c>
      <c r="D99" t="s">
        <v>2126</v>
      </c>
      <c r="E99">
        <v>2024</v>
      </c>
      <c r="F99" t="s">
        <v>4844</v>
      </c>
      <c r="G99" s="1033">
        <f>$AB$23/1000000 * SUM($AM$7:$AM$8) + $AB$39/1000000 * $AM$9</f>
        <v>5.750177445800718</v>
      </c>
      <c r="H99" s="52" t="s">
        <v>4861</v>
      </c>
      <c r="I99" s="377">
        <v>1</v>
      </c>
      <c r="J99" s="377">
        <v>1</v>
      </c>
      <c r="K99" s="377">
        <v>1</v>
      </c>
      <c r="L99" s="377">
        <v>3</v>
      </c>
      <c r="M99" s="377">
        <v>1</v>
      </c>
    </row>
    <row r="100" spans="1:13" x14ac:dyDescent="0.25">
      <c r="A100" t="s">
        <v>4422</v>
      </c>
      <c r="B100" t="s">
        <v>2037</v>
      </c>
      <c r="C100" t="s">
        <v>95</v>
      </c>
      <c r="D100" t="s">
        <v>2126</v>
      </c>
      <c r="E100">
        <v>2024</v>
      </c>
      <c r="F100" t="s">
        <v>4845</v>
      </c>
      <c r="G100" s="1033">
        <f>$AB$25/1000000 * SUM($AM$7:$AM$8) + $AB$39/1000000 * $AM$9</f>
        <v>2.1148954333147531E-2</v>
      </c>
      <c r="H100" s="52" t="s">
        <v>4861</v>
      </c>
      <c r="I100" s="377">
        <v>1</v>
      </c>
      <c r="J100" s="377">
        <v>1</v>
      </c>
      <c r="K100" s="377">
        <v>1</v>
      </c>
      <c r="L100" s="377">
        <v>3</v>
      </c>
      <c r="M100" s="377">
        <v>1</v>
      </c>
    </row>
    <row r="101" spans="1:13" x14ac:dyDescent="0.25">
      <c r="A101" t="s">
        <v>4422</v>
      </c>
      <c r="B101" t="s">
        <v>2036</v>
      </c>
      <c r="C101" t="s">
        <v>95</v>
      </c>
      <c r="D101" t="s">
        <v>2126</v>
      </c>
      <c r="E101">
        <v>2024</v>
      </c>
      <c r="F101" t="s">
        <v>4846</v>
      </c>
      <c r="G101" s="1033">
        <f>$AB$26/1000000 * SUM($AM$7:$AM$8) + $AB$40/1000000 * $AM$9</f>
        <v>3.2796175221271918E-4</v>
      </c>
      <c r="H101" s="52" t="s">
        <v>4861</v>
      </c>
      <c r="I101" s="377">
        <v>1</v>
      </c>
      <c r="J101" s="377">
        <v>1</v>
      </c>
      <c r="K101" s="377">
        <v>1</v>
      </c>
      <c r="L101" s="377">
        <v>3</v>
      </c>
      <c r="M101" s="377">
        <v>1</v>
      </c>
    </row>
    <row r="102" spans="1:13" x14ac:dyDescent="0.25">
      <c r="A102" t="s">
        <v>1024</v>
      </c>
      <c r="B102" t="s">
        <v>2035</v>
      </c>
      <c r="C102" t="s">
        <v>95</v>
      </c>
      <c r="D102" t="s">
        <v>2126</v>
      </c>
      <c r="E102">
        <v>2024</v>
      </c>
      <c r="F102" t="s">
        <v>4844</v>
      </c>
      <c r="G102" s="1014">
        <f>$R$51/1000000</f>
        <v>17.829176068452238</v>
      </c>
      <c r="H102" s="52" t="s">
        <v>4861</v>
      </c>
      <c r="I102" s="377">
        <v>1</v>
      </c>
      <c r="J102" s="377">
        <v>1</v>
      </c>
      <c r="K102" s="377">
        <v>1</v>
      </c>
      <c r="L102" s="377">
        <v>3</v>
      </c>
      <c r="M102" s="377">
        <v>1</v>
      </c>
    </row>
    <row r="103" spans="1:13" x14ac:dyDescent="0.25">
      <c r="A103" t="s">
        <v>1024</v>
      </c>
      <c r="B103" t="s">
        <v>2037</v>
      </c>
      <c r="C103" t="s">
        <v>95</v>
      </c>
      <c r="D103" t="s">
        <v>2126</v>
      </c>
      <c r="E103">
        <v>2024</v>
      </c>
      <c r="F103" t="s">
        <v>4845</v>
      </c>
      <c r="G103" s="1034">
        <f>$R$53/1000000</f>
        <v>3.5495249761499877E-2</v>
      </c>
      <c r="H103" s="52" t="s">
        <v>4861</v>
      </c>
      <c r="I103" s="377">
        <v>1</v>
      </c>
      <c r="J103" s="377">
        <v>1</v>
      </c>
      <c r="K103" s="377">
        <v>1</v>
      </c>
      <c r="L103" s="377">
        <v>3</v>
      </c>
      <c r="M103" s="377">
        <v>1</v>
      </c>
    </row>
    <row r="104" spans="1:13" x14ac:dyDescent="0.25">
      <c r="A104" t="s">
        <v>1024</v>
      </c>
      <c r="B104" t="s">
        <v>2036</v>
      </c>
      <c r="C104" t="s">
        <v>95</v>
      </c>
      <c r="D104" t="s">
        <v>2126</v>
      </c>
      <c r="E104">
        <v>2024</v>
      </c>
      <c r="F104" t="s">
        <v>4846</v>
      </c>
      <c r="G104" s="1034">
        <f>$R$54/1000000</f>
        <v>3.4675859715371321E-4</v>
      </c>
      <c r="H104" s="52" t="s">
        <v>4861</v>
      </c>
      <c r="I104" s="377">
        <v>1</v>
      </c>
      <c r="J104" s="377">
        <v>1</v>
      </c>
      <c r="K104" s="377">
        <v>1</v>
      </c>
      <c r="L104" s="377">
        <v>3</v>
      </c>
      <c r="M104" s="377">
        <v>1</v>
      </c>
    </row>
    <row r="105" spans="1:13" x14ac:dyDescent="0.25">
      <c r="A105" t="s">
        <v>1041</v>
      </c>
      <c r="B105" t="s">
        <v>2035</v>
      </c>
      <c r="C105" t="s">
        <v>95</v>
      </c>
      <c r="D105" t="s">
        <v>2126</v>
      </c>
      <c r="E105">
        <v>2024</v>
      </c>
      <c r="F105" t="s">
        <v>4844</v>
      </c>
      <c r="G105" s="1014">
        <f>$R$51/1000000</f>
        <v>17.829176068452238</v>
      </c>
      <c r="H105" s="52" t="s">
        <v>4861</v>
      </c>
      <c r="I105" s="377">
        <v>1</v>
      </c>
      <c r="J105" s="377">
        <v>1</v>
      </c>
      <c r="K105" s="377">
        <v>1</v>
      </c>
      <c r="L105" s="377">
        <v>3</v>
      </c>
      <c r="M105" s="377">
        <v>1</v>
      </c>
    </row>
    <row r="106" spans="1:13" x14ac:dyDescent="0.25">
      <c r="A106" t="s">
        <v>1041</v>
      </c>
      <c r="B106" t="s">
        <v>2037</v>
      </c>
      <c r="C106" t="s">
        <v>95</v>
      </c>
      <c r="D106" t="s">
        <v>2126</v>
      </c>
      <c r="E106">
        <v>2024</v>
      </c>
      <c r="F106" t="s">
        <v>4845</v>
      </c>
      <c r="G106" s="1034">
        <f>$R$53/1000000</f>
        <v>3.5495249761499877E-2</v>
      </c>
      <c r="H106" s="52" t="s">
        <v>4861</v>
      </c>
      <c r="I106" s="377">
        <v>1</v>
      </c>
      <c r="J106" s="377">
        <v>1</v>
      </c>
      <c r="K106" s="377">
        <v>1</v>
      </c>
      <c r="L106" s="377">
        <v>3</v>
      </c>
      <c r="M106" s="377">
        <v>1</v>
      </c>
    </row>
    <row r="107" spans="1:13" x14ac:dyDescent="0.25">
      <c r="A107" t="s">
        <v>1041</v>
      </c>
      <c r="B107" t="s">
        <v>2036</v>
      </c>
      <c r="C107" t="s">
        <v>95</v>
      </c>
      <c r="D107" t="s">
        <v>2126</v>
      </c>
      <c r="E107">
        <v>2024</v>
      </c>
      <c r="F107" t="s">
        <v>4846</v>
      </c>
      <c r="G107" s="1034">
        <f>$R$54/1000000</f>
        <v>3.4675859715371321E-4</v>
      </c>
      <c r="H107" s="52" t="s">
        <v>4861</v>
      </c>
      <c r="I107" s="377">
        <v>1</v>
      </c>
      <c r="J107" s="377">
        <v>1</v>
      </c>
      <c r="K107" s="377">
        <v>1</v>
      </c>
      <c r="L107" s="377">
        <v>3</v>
      </c>
      <c r="M107" s="377">
        <v>1</v>
      </c>
    </row>
    <row r="108" spans="1:13" x14ac:dyDescent="0.25">
      <c r="A108" t="s">
        <v>1043</v>
      </c>
      <c r="B108" t="s">
        <v>2035</v>
      </c>
      <c r="C108" t="s">
        <v>95</v>
      </c>
      <c r="D108" t="s">
        <v>2126</v>
      </c>
      <c r="E108">
        <v>2024</v>
      </c>
      <c r="F108" t="s">
        <v>4844</v>
      </c>
      <c r="G108" s="1014">
        <f>$S$51/1000000</f>
        <v>18.221204995183612</v>
      </c>
      <c r="H108" s="52" t="s">
        <v>4861</v>
      </c>
      <c r="I108" s="377">
        <v>1</v>
      </c>
      <c r="J108" s="377">
        <v>1</v>
      </c>
      <c r="K108" s="377">
        <v>1</v>
      </c>
      <c r="L108" s="377">
        <v>3</v>
      </c>
      <c r="M108" s="377">
        <v>1</v>
      </c>
    </row>
    <row r="109" spans="1:13" x14ac:dyDescent="0.25">
      <c r="A109" t="s">
        <v>1043</v>
      </c>
      <c r="B109" t="s">
        <v>2037</v>
      </c>
      <c r="C109" t="s">
        <v>95</v>
      </c>
      <c r="D109" t="s">
        <v>2126</v>
      </c>
      <c r="E109">
        <v>2024</v>
      </c>
      <c r="F109" t="s">
        <v>4845</v>
      </c>
      <c r="G109" s="1034">
        <f>$S$53/1000000</f>
        <v>3.6811171461343876E-2</v>
      </c>
      <c r="H109" s="52" t="s">
        <v>4861</v>
      </c>
      <c r="I109" s="377">
        <v>1</v>
      </c>
      <c r="J109" s="377">
        <v>1</v>
      </c>
      <c r="K109" s="377">
        <v>1</v>
      </c>
      <c r="L109" s="377">
        <v>3</v>
      </c>
      <c r="M109" s="377">
        <v>1</v>
      </c>
    </row>
    <row r="110" spans="1:13" x14ac:dyDescent="0.25">
      <c r="A110" t="s">
        <v>1043</v>
      </c>
      <c r="B110" t="s">
        <v>2036</v>
      </c>
      <c r="C110" t="s">
        <v>95</v>
      </c>
      <c r="D110" t="s">
        <v>2126</v>
      </c>
      <c r="E110">
        <v>2024</v>
      </c>
      <c r="F110" t="s">
        <v>4846</v>
      </c>
      <c r="G110" s="1034">
        <f>$S$54/1000000</f>
        <v>3.7263206975256149E-4</v>
      </c>
      <c r="H110" s="52" t="s">
        <v>4861</v>
      </c>
      <c r="I110" s="377">
        <v>1</v>
      </c>
      <c r="J110" s="377">
        <v>1</v>
      </c>
      <c r="K110" s="377">
        <v>1</v>
      </c>
      <c r="L110" s="377">
        <v>3</v>
      </c>
      <c r="M110" s="377">
        <v>1</v>
      </c>
    </row>
    <row r="111" spans="1:13" x14ac:dyDescent="0.25">
      <c r="A111" t="s">
        <v>1044</v>
      </c>
      <c r="B111" t="s">
        <v>2035</v>
      </c>
      <c r="C111" t="s">
        <v>95</v>
      </c>
      <c r="D111" t="s">
        <v>2126</v>
      </c>
      <c r="E111">
        <v>2024</v>
      </c>
      <c r="F111" t="s">
        <v>4844</v>
      </c>
      <c r="G111" s="1014">
        <f>$S$51/1000000</f>
        <v>18.221204995183612</v>
      </c>
      <c r="H111" s="52" t="s">
        <v>4863</v>
      </c>
      <c r="I111" s="377">
        <v>2</v>
      </c>
      <c r="J111" s="377">
        <v>1</v>
      </c>
      <c r="K111" s="377">
        <v>1</v>
      </c>
      <c r="L111" s="377">
        <v>3</v>
      </c>
      <c r="M111" s="377">
        <v>1</v>
      </c>
    </row>
    <row r="112" spans="1:13" x14ac:dyDescent="0.25">
      <c r="A112" t="s">
        <v>1044</v>
      </c>
      <c r="B112" t="s">
        <v>2037</v>
      </c>
      <c r="C112" t="s">
        <v>95</v>
      </c>
      <c r="D112" t="s">
        <v>2126</v>
      </c>
      <c r="E112">
        <v>2024</v>
      </c>
      <c r="F112" t="s">
        <v>4845</v>
      </c>
      <c r="G112" s="1034">
        <f>$S$53/1000000</f>
        <v>3.6811171461343876E-2</v>
      </c>
      <c r="H112" s="52" t="s">
        <v>4863</v>
      </c>
      <c r="I112" s="377">
        <v>2</v>
      </c>
      <c r="J112" s="377">
        <v>1</v>
      </c>
      <c r="K112" s="377">
        <v>1</v>
      </c>
      <c r="L112" s="377">
        <v>3</v>
      </c>
      <c r="M112" s="377">
        <v>1</v>
      </c>
    </row>
    <row r="113" spans="1:13" x14ac:dyDescent="0.25">
      <c r="A113" t="s">
        <v>1044</v>
      </c>
      <c r="B113" t="s">
        <v>2036</v>
      </c>
      <c r="C113" t="s">
        <v>95</v>
      </c>
      <c r="D113" t="s">
        <v>2126</v>
      </c>
      <c r="E113">
        <v>2024</v>
      </c>
      <c r="F113" t="s">
        <v>4846</v>
      </c>
      <c r="G113" s="1034">
        <f>$S$54/1000000</f>
        <v>3.7263206975256149E-4</v>
      </c>
      <c r="H113" s="52" t="s">
        <v>4863</v>
      </c>
      <c r="I113" s="377">
        <v>2</v>
      </c>
      <c r="J113" s="377">
        <v>1</v>
      </c>
      <c r="K113" s="377">
        <v>1</v>
      </c>
      <c r="L113" s="377">
        <v>3</v>
      </c>
      <c r="M113" s="377">
        <v>1</v>
      </c>
    </row>
    <row r="114" spans="1:13" x14ac:dyDescent="0.25">
      <c r="A114" t="s">
        <v>1071</v>
      </c>
      <c r="B114" t="s">
        <v>2035</v>
      </c>
      <c r="C114" t="s">
        <v>95</v>
      </c>
      <c r="D114" t="s">
        <v>2126</v>
      </c>
      <c r="E114">
        <v>2024</v>
      </c>
      <c r="F114" t="s">
        <v>4844</v>
      </c>
      <c r="G114" s="1014">
        <f>$T$51/1000000</f>
        <v>27.908674056869025</v>
      </c>
      <c r="H114" s="52" t="s">
        <v>4862</v>
      </c>
      <c r="I114" s="377">
        <v>1</v>
      </c>
      <c r="J114" s="377">
        <v>1</v>
      </c>
      <c r="K114" s="377">
        <v>1</v>
      </c>
      <c r="L114" s="377">
        <v>3</v>
      </c>
      <c r="M114" s="377">
        <v>1</v>
      </c>
    </row>
    <row r="115" spans="1:13" x14ac:dyDescent="0.25">
      <c r="A115" t="s">
        <v>1071</v>
      </c>
      <c r="B115" t="s">
        <v>2037</v>
      </c>
      <c r="C115" t="s">
        <v>95</v>
      </c>
      <c r="D115" t="s">
        <v>2126</v>
      </c>
      <c r="E115">
        <v>2024</v>
      </c>
      <c r="F115" t="s">
        <v>4845</v>
      </c>
      <c r="G115" s="1034">
        <f>$T$53/1000000</f>
        <v>8.7074065531514352E-2</v>
      </c>
      <c r="H115" s="52" t="s">
        <v>4862</v>
      </c>
      <c r="I115" s="377">
        <v>1</v>
      </c>
      <c r="J115" s="377">
        <v>1</v>
      </c>
      <c r="K115" s="377">
        <v>1</v>
      </c>
      <c r="L115" s="377">
        <v>3</v>
      </c>
      <c r="M115" s="377">
        <v>1</v>
      </c>
    </row>
    <row r="116" spans="1:13" x14ac:dyDescent="0.25">
      <c r="A116" t="s">
        <v>1071</v>
      </c>
      <c r="B116" t="s">
        <v>2036</v>
      </c>
      <c r="C116" t="s">
        <v>95</v>
      </c>
      <c r="D116" t="s">
        <v>2126</v>
      </c>
      <c r="E116">
        <v>2024</v>
      </c>
      <c r="F116" t="s">
        <v>4846</v>
      </c>
      <c r="G116" s="1034">
        <f>$T$54/1000000</f>
        <v>7.2988583823402017E-4</v>
      </c>
      <c r="H116" s="52" t="s">
        <v>4862</v>
      </c>
      <c r="I116" s="377">
        <v>1</v>
      </c>
      <c r="J116" s="377">
        <v>1</v>
      </c>
      <c r="K116" s="377">
        <v>1</v>
      </c>
      <c r="L116" s="377">
        <v>3</v>
      </c>
      <c r="M116" s="377">
        <v>1</v>
      </c>
    </row>
    <row r="117" spans="1:13" x14ac:dyDescent="0.25">
      <c r="A117" t="s">
        <v>1072</v>
      </c>
      <c r="B117" t="s">
        <v>2035</v>
      </c>
      <c r="C117" t="s">
        <v>95</v>
      </c>
      <c r="D117" t="s">
        <v>2126</v>
      </c>
      <c r="E117">
        <v>2024</v>
      </c>
      <c r="F117" t="s">
        <v>4844</v>
      </c>
      <c r="G117" s="1014">
        <f>$U$51/1000000</f>
        <v>23.371429562847453</v>
      </c>
      <c r="H117" s="52" t="s">
        <v>4861</v>
      </c>
      <c r="I117" s="377">
        <v>1</v>
      </c>
      <c r="J117" s="377">
        <v>1</v>
      </c>
      <c r="K117" s="377">
        <v>1</v>
      </c>
      <c r="L117" s="377">
        <v>3</v>
      </c>
      <c r="M117" s="377">
        <v>1</v>
      </c>
    </row>
    <row r="118" spans="1:13" x14ac:dyDescent="0.25">
      <c r="A118" t="s">
        <v>1072</v>
      </c>
      <c r="B118" t="s">
        <v>2037</v>
      </c>
      <c r="C118" t="s">
        <v>95</v>
      </c>
      <c r="D118" t="s">
        <v>2126</v>
      </c>
      <c r="E118">
        <v>2024</v>
      </c>
      <c r="F118" t="s">
        <v>4845</v>
      </c>
      <c r="G118" s="1034">
        <f>$U$53/1000000</f>
        <v>5.097945799577059E-2</v>
      </c>
      <c r="H118" s="52" t="s">
        <v>4861</v>
      </c>
      <c r="I118" s="377">
        <v>1</v>
      </c>
      <c r="J118" s="377">
        <v>1</v>
      </c>
      <c r="K118" s="377">
        <v>1</v>
      </c>
      <c r="L118" s="377">
        <v>3</v>
      </c>
      <c r="M118" s="377">
        <v>1</v>
      </c>
    </row>
    <row r="119" spans="1:13" x14ac:dyDescent="0.25">
      <c r="A119" t="s">
        <v>1072</v>
      </c>
      <c r="B119" t="s">
        <v>2036</v>
      </c>
      <c r="C119" t="s">
        <v>95</v>
      </c>
      <c r="D119" t="s">
        <v>2126</v>
      </c>
      <c r="E119">
        <v>2024</v>
      </c>
      <c r="F119" t="s">
        <v>4846</v>
      </c>
      <c r="G119" s="1034">
        <f>$U$54/1000000</f>
        <v>5.7126859172213363E-4</v>
      </c>
      <c r="H119" s="52" t="s">
        <v>4861</v>
      </c>
      <c r="I119" s="377">
        <v>1</v>
      </c>
      <c r="J119" s="377">
        <v>1</v>
      </c>
      <c r="K119" s="377">
        <v>1</v>
      </c>
      <c r="L119" s="377">
        <v>3</v>
      </c>
      <c r="M119" s="377">
        <v>1</v>
      </c>
    </row>
    <row r="120" spans="1:13" x14ac:dyDescent="0.25">
      <c r="A120" t="s">
        <v>1073</v>
      </c>
      <c r="B120" t="s">
        <v>2035</v>
      </c>
      <c r="C120" t="s">
        <v>95</v>
      </c>
      <c r="D120" t="s">
        <v>2126</v>
      </c>
      <c r="E120">
        <v>2024</v>
      </c>
      <c r="F120" t="s">
        <v>4844</v>
      </c>
      <c r="G120" s="1014">
        <f>$U$51/1000000</f>
        <v>23.371429562847453</v>
      </c>
      <c r="H120" s="52" t="s">
        <v>4861</v>
      </c>
      <c r="I120" s="377">
        <v>1</v>
      </c>
      <c r="J120" s="377">
        <v>1</v>
      </c>
      <c r="K120" s="377">
        <v>1</v>
      </c>
      <c r="L120" s="377">
        <v>3</v>
      </c>
      <c r="M120" s="377">
        <v>1</v>
      </c>
    </row>
    <row r="121" spans="1:13" x14ac:dyDescent="0.25">
      <c r="A121" t="s">
        <v>1073</v>
      </c>
      <c r="B121" t="s">
        <v>2037</v>
      </c>
      <c r="C121" t="s">
        <v>95</v>
      </c>
      <c r="D121" t="s">
        <v>2126</v>
      </c>
      <c r="E121">
        <v>2024</v>
      </c>
      <c r="F121" t="s">
        <v>4845</v>
      </c>
      <c r="G121" s="1034">
        <f>$U$53/1000000</f>
        <v>5.097945799577059E-2</v>
      </c>
      <c r="H121" s="52" t="s">
        <v>4861</v>
      </c>
      <c r="I121" s="377">
        <v>1</v>
      </c>
      <c r="J121" s="377">
        <v>1</v>
      </c>
      <c r="K121" s="377">
        <v>1</v>
      </c>
      <c r="L121" s="377">
        <v>3</v>
      </c>
      <c r="M121" s="377">
        <v>1</v>
      </c>
    </row>
    <row r="122" spans="1:13" x14ac:dyDescent="0.25">
      <c r="A122" t="s">
        <v>1073</v>
      </c>
      <c r="B122" t="s">
        <v>2036</v>
      </c>
      <c r="C122" t="s">
        <v>95</v>
      </c>
      <c r="D122" t="s">
        <v>2126</v>
      </c>
      <c r="E122">
        <v>2024</v>
      </c>
      <c r="F122" t="s">
        <v>4846</v>
      </c>
      <c r="G122" s="1034">
        <f>$U$54/1000000</f>
        <v>5.7126859172213363E-4</v>
      </c>
      <c r="H122" s="52" t="s">
        <v>4861</v>
      </c>
      <c r="I122" s="377">
        <v>1</v>
      </c>
      <c r="J122" s="377">
        <v>1</v>
      </c>
      <c r="K122" s="377">
        <v>1</v>
      </c>
      <c r="L122" s="377">
        <v>3</v>
      </c>
      <c r="M122" s="377">
        <v>1</v>
      </c>
    </row>
    <row r="123" spans="1:13" x14ac:dyDescent="0.25">
      <c r="A123" t="s">
        <v>1074</v>
      </c>
      <c r="B123" t="s">
        <v>2035</v>
      </c>
      <c r="C123" t="s">
        <v>95</v>
      </c>
      <c r="D123" t="s">
        <v>2126</v>
      </c>
      <c r="E123">
        <v>2024</v>
      </c>
      <c r="F123" t="s">
        <v>4844</v>
      </c>
      <c r="G123" s="1014">
        <f>$X$51/1000000 * $AN$21 + $X$65/1000000 * $AN$22</f>
        <v>64.061951257165873</v>
      </c>
      <c r="H123" s="52" t="s">
        <v>4861</v>
      </c>
      <c r="I123" s="377">
        <v>1</v>
      </c>
      <c r="J123" s="377">
        <v>1</v>
      </c>
      <c r="K123" s="377">
        <v>1</v>
      </c>
      <c r="L123" s="377">
        <v>3</v>
      </c>
      <c r="M123" s="377">
        <v>1</v>
      </c>
    </row>
    <row r="124" spans="1:13" x14ac:dyDescent="0.25">
      <c r="A124" t="s">
        <v>1074</v>
      </c>
      <c r="B124" t="s">
        <v>2037</v>
      </c>
      <c r="C124" t="s">
        <v>95</v>
      </c>
      <c r="D124" t="s">
        <v>2126</v>
      </c>
      <c r="E124">
        <v>2024</v>
      </c>
      <c r="F124" t="s">
        <v>4845</v>
      </c>
      <c r="G124" s="1014">
        <f>$X$53/1000000 * $AN$21 + $X$67/1000000 * $AN$22</f>
        <v>0.1233450564076989</v>
      </c>
      <c r="H124" s="52" t="s">
        <v>4861</v>
      </c>
      <c r="I124" s="377">
        <v>1</v>
      </c>
      <c r="J124" s="377">
        <v>1</v>
      </c>
      <c r="K124" s="377">
        <v>1</v>
      </c>
      <c r="L124" s="377">
        <v>3</v>
      </c>
      <c r="M124" s="377">
        <v>1</v>
      </c>
    </row>
    <row r="125" spans="1:13" x14ac:dyDescent="0.25">
      <c r="A125" t="s">
        <v>1074</v>
      </c>
      <c r="B125" t="s">
        <v>2036</v>
      </c>
      <c r="C125" t="s">
        <v>95</v>
      </c>
      <c r="D125" t="s">
        <v>2126</v>
      </c>
      <c r="E125">
        <v>2024</v>
      </c>
      <c r="F125" t="s">
        <v>4846</v>
      </c>
      <c r="G125" s="1014">
        <f>$X$54/1000000 * $AN$21 + $X$68/1000000 * $AN$22</f>
        <v>1.2892777722425313E-3</v>
      </c>
      <c r="H125" s="52" t="s">
        <v>4861</v>
      </c>
      <c r="I125" s="377">
        <v>1</v>
      </c>
      <c r="J125" s="377">
        <v>1</v>
      </c>
      <c r="K125" s="377">
        <v>1</v>
      </c>
      <c r="L125" s="377">
        <v>3</v>
      </c>
      <c r="M125" s="377">
        <v>1</v>
      </c>
    </row>
    <row r="126" spans="1:13" x14ac:dyDescent="0.25">
      <c r="A126" t="s">
        <v>1075</v>
      </c>
      <c r="B126" t="s">
        <v>2035</v>
      </c>
      <c r="C126" t="s">
        <v>95</v>
      </c>
      <c r="D126" t="s">
        <v>2126</v>
      </c>
      <c r="E126">
        <v>2024</v>
      </c>
      <c r="F126" t="s">
        <v>4844</v>
      </c>
      <c r="G126" s="1014">
        <f>$Y$51/1000000 * $AN$21 + $Y$65/1000000 * $AN$22</f>
        <v>65.320432242547952</v>
      </c>
      <c r="H126" s="52" t="s">
        <v>4861</v>
      </c>
      <c r="I126" s="377">
        <v>1</v>
      </c>
      <c r="J126" s="377">
        <v>1</v>
      </c>
      <c r="K126" s="377">
        <v>1</v>
      </c>
      <c r="L126" s="377">
        <v>3</v>
      </c>
      <c r="M126" s="377">
        <v>1</v>
      </c>
    </row>
    <row r="127" spans="1:13" x14ac:dyDescent="0.25">
      <c r="A127" t="s">
        <v>1075</v>
      </c>
      <c r="B127" t="s">
        <v>2037</v>
      </c>
      <c r="C127" t="s">
        <v>95</v>
      </c>
      <c r="D127" t="s">
        <v>2126</v>
      </c>
      <c r="E127">
        <v>2024</v>
      </c>
      <c r="F127" t="s">
        <v>4845</v>
      </c>
      <c r="G127" s="1014">
        <f>$Y$53/1000000 * $AN$21 + $Y$67/1000000 * $AN$22</f>
        <v>0.12821415102225148</v>
      </c>
      <c r="H127" s="52" t="s">
        <v>4861</v>
      </c>
      <c r="I127" s="377">
        <v>1</v>
      </c>
      <c r="J127" s="377">
        <v>1</v>
      </c>
      <c r="K127" s="377">
        <v>1</v>
      </c>
      <c r="L127" s="377">
        <v>3</v>
      </c>
      <c r="M127" s="377">
        <v>1</v>
      </c>
    </row>
    <row r="128" spans="1:13" x14ac:dyDescent="0.25">
      <c r="A128" t="s">
        <v>1075</v>
      </c>
      <c r="B128" t="s">
        <v>2036</v>
      </c>
      <c r="C128" t="s">
        <v>95</v>
      </c>
      <c r="D128" t="s">
        <v>2126</v>
      </c>
      <c r="E128">
        <v>2024</v>
      </c>
      <c r="F128" t="s">
        <v>4846</v>
      </c>
      <c r="G128" s="1014">
        <f>$Y$54/1000000 * $AN$21 + $Y$68/1000000 * $AN$22</f>
        <v>1.3585970793807177E-3</v>
      </c>
      <c r="H128" s="52" t="s">
        <v>4861</v>
      </c>
      <c r="I128" s="377">
        <v>1</v>
      </c>
      <c r="J128" s="377">
        <v>1</v>
      </c>
      <c r="K128" s="377">
        <v>1</v>
      </c>
      <c r="L128" s="377">
        <v>3</v>
      </c>
      <c r="M128" s="377">
        <v>1</v>
      </c>
    </row>
    <row r="129" spans="1:13" x14ac:dyDescent="0.25">
      <c r="A129" t="s">
        <v>1076</v>
      </c>
      <c r="B129" t="s">
        <v>2035</v>
      </c>
      <c r="C129" t="s">
        <v>95</v>
      </c>
      <c r="D129" t="s">
        <v>2126</v>
      </c>
      <c r="E129">
        <v>2024</v>
      </c>
      <c r="F129" t="s">
        <v>4844</v>
      </c>
      <c r="G129" s="1014">
        <f>$Y$51/1000000 * $AN$21 + $Y$65/1000000 * $AN$22</f>
        <v>65.320432242547952</v>
      </c>
      <c r="H129" s="52" t="s">
        <v>4863</v>
      </c>
      <c r="I129" s="377">
        <v>2</v>
      </c>
      <c r="J129" s="377">
        <v>1</v>
      </c>
      <c r="K129" s="377">
        <v>1</v>
      </c>
      <c r="L129" s="377">
        <v>3</v>
      </c>
      <c r="M129" s="377">
        <v>1</v>
      </c>
    </row>
    <row r="130" spans="1:13" x14ac:dyDescent="0.25">
      <c r="A130" t="s">
        <v>1076</v>
      </c>
      <c r="B130" t="s">
        <v>2037</v>
      </c>
      <c r="C130" t="s">
        <v>95</v>
      </c>
      <c r="D130" t="s">
        <v>2126</v>
      </c>
      <c r="E130">
        <v>2024</v>
      </c>
      <c r="F130" t="s">
        <v>4845</v>
      </c>
      <c r="G130" s="1014">
        <f>$Y$53/1000000 * $AN$21 + $Y$67/1000000 * $AN$22</f>
        <v>0.12821415102225148</v>
      </c>
      <c r="H130" s="52" t="s">
        <v>4863</v>
      </c>
      <c r="I130" s="377">
        <v>2</v>
      </c>
      <c r="J130" s="377">
        <v>1</v>
      </c>
      <c r="K130" s="377">
        <v>1</v>
      </c>
      <c r="L130" s="377">
        <v>3</v>
      </c>
      <c r="M130" s="377">
        <v>1</v>
      </c>
    </row>
    <row r="131" spans="1:13" x14ac:dyDescent="0.25">
      <c r="A131" t="s">
        <v>1076</v>
      </c>
      <c r="B131" t="s">
        <v>2036</v>
      </c>
      <c r="C131" t="s">
        <v>95</v>
      </c>
      <c r="D131" t="s">
        <v>2126</v>
      </c>
      <c r="E131">
        <v>2024</v>
      </c>
      <c r="F131" t="s">
        <v>4846</v>
      </c>
      <c r="G131" s="1014">
        <f>$Y$54/1000000 * $AN$21 + $Y$68/1000000 * $AN$22</f>
        <v>1.3585970793807177E-3</v>
      </c>
      <c r="H131" s="52" t="s">
        <v>4863</v>
      </c>
      <c r="I131" s="377">
        <v>2</v>
      </c>
      <c r="J131" s="377">
        <v>1</v>
      </c>
      <c r="K131" s="377">
        <v>1</v>
      </c>
      <c r="L131" s="377">
        <v>3</v>
      </c>
      <c r="M131" s="377">
        <v>1</v>
      </c>
    </row>
    <row r="132" spans="1:13" x14ac:dyDescent="0.25">
      <c r="A132" t="s">
        <v>1077</v>
      </c>
      <c r="B132" t="s">
        <v>2035</v>
      </c>
      <c r="C132" t="s">
        <v>95</v>
      </c>
      <c r="D132" t="s">
        <v>2126</v>
      </c>
      <c r="E132">
        <v>2024</v>
      </c>
      <c r="F132" t="s">
        <v>4844</v>
      </c>
      <c r="G132" s="1014">
        <f>$Z$51/1000000 * $AN$21 + $Z$65/1000000 * $AN$22</f>
        <v>185.33432077698387</v>
      </c>
      <c r="H132" s="52" t="s">
        <v>4862</v>
      </c>
      <c r="I132" s="377">
        <v>1</v>
      </c>
      <c r="J132" s="377">
        <v>1</v>
      </c>
      <c r="K132" s="377">
        <v>1</v>
      </c>
      <c r="L132" s="377">
        <v>3</v>
      </c>
      <c r="M132" s="377">
        <v>1</v>
      </c>
    </row>
    <row r="133" spans="1:13" x14ac:dyDescent="0.25">
      <c r="A133" t="s">
        <v>1077</v>
      </c>
      <c r="B133" t="s">
        <v>2037</v>
      </c>
      <c r="C133" t="s">
        <v>95</v>
      </c>
      <c r="D133" t="s">
        <v>2126</v>
      </c>
      <c r="E133">
        <v>2024</v>
      </c>
      <c r="F133" t="s">
        <v>4845</v>
      </c>
      <c r="G133" s="1014">
        <f>$Z$53/1000000 * $AN$21 + $Z$67/1000000 * $AN$22</f>
        <v>0.7342152092561991</v>
      </c>
      <c r="H133" s="52" t="s">
        <v>4862</v>
      </c>
      <c r="I133" s="377">
        <v>1</v>
      </c>
      <c r="J133" s="377">
        <v>1</v>
      </c>
      <c r="K133" s="377">
        <v>1</v>
      </c>
      <c r="L133" s="377">
        <v>3</v>
      </c>
      <c r="M133" s="377">
        <v>1</v>
      </c>
    </row>
    <row r="134" spans="1:13" x14ac:dyDescent="0.25">
      <c r="A134" t="s">
        <v>1077</v>
      </c>
      <c r="B134" t="s">
        <v>2036</v>
      </c>
      <c r="C134" t="s">
        <v>95</v>
      </c>
      <c r="D134" t="s">
        <v>2126</v>
      </c>
      <c r="E134">
        <v>2024</v>
      </c>
      <c r="F134" t="s">
        <v>4846</v>
      </c>
      <c r="G134" s="1014">
        <f>$Z$54/1000000 * $AN$21 + $Z$68/1000000 * $AN$22</f>
        <v>5.1731821878420745E-3</v>
      </c>
      <c r="H134" s="52" t="s">
        <v>4862</v>
      </c>
      <c r="I134" s="377">
        <v>1</v>
      </c>
      <c r="J134" s="377">
        <v>1</v>
      </c>
      <c r="K134" s="377">
        <v>1</v>
      </c>
      <c r="L134" s="377">
        <v>3</v>
      </c>
      <c r="M134" s="377">
        <v>1</v>
      </c>
    </row>
    <row r="135" spans="1:13" x14ac:dyDescent="0.25">
      <c r="A135" t="s">
        <v>1078</v>
      </c>
      <c r="B135" t="s">
        <v>2035</v>
      </c>
      <c r="C135" t="s">
        <v>95</v>
      </c>
      <c r="D135" t="s">
        <v>2126</v>
      </c>
      <c r="E135">
        <v>2024</v>
      </c>
      <c r="F135" t="s">
        <v>4844</v>
      </c>
      <c r="G135" s="1014">
        <f>$AA$51/1000000 * $AN$21 + $AA$65/1000000 * $AN$22</f>
        <v>83.278780150031409</v>
      </c>
      <c r="H135" s="52" t="s">
        <v>4861</v>
      </c>
      <c r="I135" s="377">
        <v>1</v>
      </c>
      <c r="J135" s="377">
        <v>1</v>
      </c>
      <c r="K135" s="377">
        <v>1</v>
      </c>
      <c r="L135" s="377">
        <v>3</v>
      </c>
      <c r="M135" s="377">
        <v>1</v>
      </c>
    </row>
    <row r="136" spans="1:13" x14ac:dyDescent="0.25">
      <c r="A136" t="s">
        <v>1078</v>
      </c>
      <c r="B136" t="s">
        <v>2037</v>
      </c>
      <c r="C136" t="s">
        <v>95</v>
      </c>
      <c r="D136" t="s">
        <v>2126</v>
      </c>
      <c r="E136">
        <v>2024</v>
      </c>
      <c r="F136" t="s">
        <v>4845</v>
      </c>
      <c r="G136" s="1014">
        <f>$AA$53/1000000 * $AN$21 + $AA$67/1000000 * $AN$22</f>
        <v>0.18202810110115009</v>
      </c>
      <c r="H136" s="52" t="s">
        <v>4861</v>
      </c>
      <c r="I136" s="377">
        <v>1</v>
      </c>
      <c r="J136" s="377">
        <v>1</v>
      </c>
      <c r="K136" s="377">
        <v>1</v>
      </c>
      <c r="L136" s="377">
        <v>3</v>
      </c>
      <c r="M136" s="377">
        <v>1</v>
      </c>
    </row>
    <row r="137" spans="1:13" x14ac:dyDescent="0.25">
      <c r="A137" t="s">
        <v>1078</v>
      </c>
      <c r="B137" t="s">
        <v>2036</v>
      </c>
      <c r="C137" t="s">
        <v>95</v>
      </c>
      <c r="D137" t="s">
        <v>2126</v>
      </c>
      <c r="E137">
        <v>2024</v>
      </c>
      <c r="F137" t="s">
        <v>4846</v>
      </c>
      <c r="G137" s="1014">
        <f>$AA$54/1000000 * $AN$21 + $AA$68/1000000 * $AN$22</f>
        <v>1.9694939350403356E-3</v>
      </c>
      <c r="H137" s="52" t="s">
        <v>4861</v>
      </c>
      <c r="I137" s="377">
        <v>1</v>
      </c>
      <c r="J137" s="377">
        <v>1</v>
      </c>
      <c r="K137" s="377">
        <v>1</v>
      </c>
      <c r="L137" s="377">
        <v>3</v>
      </c>
      <c r="M137" s="377">
        <v>1</v>
      </c>
    </row>
    <row r="138" spans="1:13" x14ac:dyDescent="0.25">
      <c r="A138" t="s">
        <v>1079</v>
      </c>
      <c r="B138" t="s">
        <v>2035</v>
      </c>
      <c r="C138" t="s">
        <v>95</v>
      </c>
      <c r="D138" t="s">
        <v>2126</v>
      </c>
      <c r="E138">
        <v>2024</v>
      </c>
      <c r="F138" t="s">
        <v>4844</v>
      </c>
      <c r="G138" s="1014">
        <f>$AA$51/1000000 * $AN$21 + $AA$65/1000000 * $AN$22</f>
        <v>83.278780150031409</v>
      </c>
      <c r="H138" s="52" t="s">
        <v>4861</v>
      </c>
      <c r="I138" s="377">
        <v>1</v>
      </c>
      <c r="J138" s="377">
        <v>1</v>
      </c>
      <c r="K138" s="377">
        <v>1</v>
      </c>
      <c r="L138" s="377">
        <v>3</v>
      </c>
      <c r="M138" s="377">
        <v>1</v>
      </c>
    </row>
    <row r="139" spans="1:13" x14ac:dyDescent="0.25">
      <c r="A139" t="s">
        <v>1079</v>
      </c>
      <c r="B139" t="s">
        <v>2037</v>
      </c>
      <c r="C139" t="s">
        <v>95</v>
      </c>
      <c r="D139" t="s">
        <v>2126</v>
      </c>
      <c r="E139">
        <v>2024</v>
      </c>
      <c r="F139" t="s">
        <v>4845</v>
      </c>
      <c r="G139" s="1014">
        <f>$AA$53/1000000 * $AN$21 + $AA$67/1000000 * $AN$22</f>
        <v>0.18202810110115009</v>
      </c>
      <c r="H139" s="52" t="s">
        <v>4861</v>
      </c>
      <c r="I139" s="377">
        <v>1</v>
      </c>
      <c r="J139" s="377">
        <v>1</v>
      </c>
      <c r="K139" s="377">
        <v>1</v>
      </c>
      <c r="L139" s="377">
        <v>3</v>
      </c>
      <c r="M139" s="377">
        <v>1</v>
      </c>
    </row>
    <row r="140" spans="1:13" x14ac:dyDescent="0.25">
      <c r="A140" t="s">
        <v>1079</v>
      </c>
      <c r="B140" t="s">
        <v>2036</v>
      </c>
      <c r="C140" t="s">
        <v>95</v>
      </c>
      <c r="D140" t="s">
        <v>2126</v>
      </c>
      <c r="E140">
        <v>2024</v>
      </c>
      <c r="F140" t="s">
        <v>4846</v>
      </c>
      <c r="G140" s="1014">
        <f>$AA$54/1000000 * $AN$21 + $AA$68/1000000 * $AN$22</f>
        <v>1.9694939350403356E-3</v>
      </c>
      <c r="H140" s="52" t="s">
        <v>4861</v>
      </c>
      <c r="I140" s="377">
        <v>1</v>
      </c>
      <c r="J140" s="377">
        <v>1</v>
      </c>
      <c r="K140" s="377">
        <v>1</v>
      </c>
      <c r="L140" s="377">
        <v>3</v>
      </c>
      <c r="M140" s="377">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5">
        <x14:dataValidation type="list" allowBlank="1" showInputMessage="1" showErrorMessage="1" xr:uid="{08DCF745-B4C3-42EF-91E1-39B4A0B42205}">
          <x14:formula1>
            <xm:f>Comms!$A$2:$A$67</xm:f>
          </x14:formula1>
          <xm:sqref>B3:B1048576</xm:sqref>
        </x14:dataValidation>
        <x14:dataValidation type="list" allowBlank="1" showInputMessage="1" showErrorMessage="1" xr:uid="{B83EA86A-CE88-4A0F-8AF3-70C5D8DBD7AF}">
          <x14:formula1>
            <xm:f>References!$A$2:$A$100</xm:f>
          </x14:formula1>
          <xm:sqref>D3:D1048576</xm:sqref>
        </x14:dataValidation>
        <x14:dataValidation type="list" allowBlank="1" showInputMessage="1" showErrorMessage="1" xr:uid="{D9A66342-4F2F-4665-BFB3-148FD5299ED8}">
          <x14:formula1>
            <xm:f>Techs!A2:$A$985</xm:f>
          </x14:formula1>
          <xm:sqref>A3:A19</xm:sqref>
        </x14:dataValidation>
        <x14:dataValidation type="list" allowBlank="1" showInputMessage="1" showErrorMessage="1" xr:uid="{44FCA397-631A-4565-BB58-0DF8BD2E48FD}">
          <x14:formula1>
            <xm:f>Techs!A19:$A$985</xm:f>
          </x14:formula1>
          <xm:sqref>A21:A41</xm:sqref>
        </x14:dataValidation>
        <x14:dataValidation type="list" allowBlank="1" showInputMessage="1" showErrorMessage="1" xr:uid="{47F6526A-0954-4A34-9417-8D30247EC3F6}">
          <x14:formula1>
            <xm:f>Techs!A67:$A$985</xm:f>
          </x14:formula1>
          <xm:sqref>A74:A85</xm:sqref>
        </x14:dataValidation>
        <x14:dataValidation type="list" allowBlank="1" showInputMessage="1" showErrorMessage="1" xr:uid="{A51D5462-41FB-4DF9-AB49-860B670DB3F6}">
          <x14:formula1>
            <xm:f>Techs!A59:$A$985</xm:f>
          </x14:formula1>
          <xm:sqref>A65:A73</xm:sqref>
        </x14:dataValidation>
        <x14:dataValidation type="list" allowBlank="1" showInputMessage="1" showErrorMessage="1" xr:uid="{8F0DCDFC-940B-493D-A730-457CB505ADEB}">
          <x14:formula1>
            <xm:f>Techs!A40:$A$985</xm:f>
          </x14:formula1>
          <xm:sqref>A122:A124 A43:A48</xm:sqref>
        </x14:dataValidation>
        <x14:dataValidation type="list" allowBlank="1" showInputMessage="1" showErrorMessage="1" xr:uid="{764ACFF3-8588-4D82-B0E2-1DC05AF81D4D}">
          <x14:formula1>
            <xm:f>Techs!A79:$A$985</xm:f>
          </x14:formula1>
          <xm:sqref>A87:A90</xm:sqref>
        </x14:dataValidation>
        <x14:dataValidation type="list" allowBlank="1" showInputMessage="1" showErrorMessage="1" xr:uid="{B965C7F9-ED58-4BB7-AD1A-D314BF6D0807}">
          <x14:formula1>
            <xm:f>Techs!A56:$A$985</xm:f>
          </x14:formula1>
          <xm:sqref>A61:A63</xm:sqref>
        </x14:dataValidation>
        <x14:dataValidation type="list" allowBlank="1" showInputMessage="1" showErrorMessage="1" xr:uid="{24C29237-336F-43EB-B5C9-B1C073A93044}">
          <x14:formula1>
            <xm:f>Techs!A45:$A$985</xm:f>
          </x14:formula1>
          <xm:sqref>A125:A131 A49:A60 A91:A121</xm:sqref>
        </x14:dataValidation>
        <x14:dataValidation type="list" allowBlank="1" showInputMessage="1" showErrorMessage="1" xr:uid="{F2A3F74E-B45D-48A3-AC38-FDBD1F449DA2}">
          <x14:formula1>
            <xm:f>Techs!A159:$A$985</xm:f>
          </x14:formula1>
          <xm:sqref>A176:A177</xm:sqref>
        </x14:dataValidation>
        <x14:dataValidation type="list" allowBlank="1" showInputMessage="1" showErrorMessage="1" xr:uid="{EE8387BC-2783-4DDF-8E26-15FFB75AE757}">
          <x14:formula1>
            <xm:f>Techs!A151:$A$985</xm:f>
          </x14:formula1>
          <xm:sqref>A164</xm:sqref>
        </x14:dataValidation>
        <x14:dataValidation type="list" allowBlank="1" showInputMessage="1" showErrorMessage="1" xr:uid="{2CF0C139-1158-44B9-8334-E7DBFEDB3665}">
          <x14:formula1>
            <xm:f>Techs!A119:$A$985</xm:f>
          </x14:formula1>
          <xm:sqref>A147:A163 A165:A173 A133:A135</xm:sqref>
        </x14:dataValidation>
        <x14:dataValidation type="list" allowBlank="1" showInputMessage="1" showErrorMessage="1" xr:uid="{726175E6-2334-40E2-A08E-07C299F798E9}">
          <x14:formula1>
            <xm:f>Techs!A158:$A$985</xm:f>
          </x14:formula1>
          <xm:sqref>A179:A1048576 A174:A175</xm:sqref>
        </x14:dataValidation>
        <x14:dataValidation type="list" allowBlank="1" showInputMessage="1" showErrorMessage="1" xr:uid="{77C64620-3326-4955-8BEB-93B1139EA721}">
          <x14:formula1>
            <xm:f>Techs!A117:$A$985</xm:f>
          </x14:formula1>
          <xm:sqref>A178 A136:A146 A132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I11" sqref="I11"/>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7" customWidth="1"/>
  </cols>
  <sheetData>
    <row r="1" spans="1:19" ht="15.75" x14ac:dyDescent="0.25">
      <c r="G1" s="1058" t="s">
        <v>1864</v>
      </c>
      <c r="H1" s="1059"/>
      <c r="I1" s="1059"/>
      <c r="J1" s="1059"/>
      <c r="K1" s="1059"/>
      <c r="L1" s="1059"/>
      <c r="M1" s="1060"/>
      <c r="O1" s="1038" t="s">
        <v>147</v>
      </c>
      <c r="P1" s="1039"/>
      <c r="Q1" s="1039"/>
      <c r="R1" s="1039"/>
      <c r="S1" s="1039"/>
    </row>
    <row r="2" spans="1:19" ht="98.25" thickBot="1" x14ac:dyDescent="0.3">
      <c r="A2" s="722" t="s">
        <v>92</v>
      </c>
      <c r="B2" s="722" t="s">
        <v>93</v>
      </c>
      <c r="C2" s="722" t="s">
        <v>179</v>
      </c>
      <c r="D2" s="722" t="s">
        <v>143</v>
      </c>
      <c r="E2" s="722" t="s">
        <v>282</v>
      </c>
      <c r="F2" s="723" t="s">
        <v>283</v>
      </c>
      <c r="G2" s="722">
        <v>2021</v>
      </c>
      <c r="H2" s="722">
        <v>2025</v>
      </c>
      <c r="I2" s="722">
        <v>2030</v>
      </c>
      <c r="J2" s="722">
        <v>2035</v>
      </c>
      <c r="K2" s="722">
        <v>2040</v>
      </c>
      <c r="L2" s="722">
        <v>2045</v>
      </c>
      <c r="M2" s="723">
        <v>2050</v>
      </c>
      <c r="N2" s="722" t="s">
        <v>91</v>
      </c>
      <c r="O2" s="727" t="s">
        <v>148</v>
      </c>
      <c r="P2" s="722" t="s">
        <v>152</v>
      </c>
      <c r="Q2" s="722" t="s">
        <v>149</v>
      </c>
      <c r="R2" s="722" t="s">
        <v>150</v>
      </c>
      <c r="S2" s="722" t="s">
        <v>151</v>
      </c>
    </row>
    <row r="3" spans="1:19" ht="15.75" thickTop="1" x14ac:dyDescent="0.25">
      <c r="A3" t="s">
        <v>4393</v>
      </c>
      <c r="B3" t="s">
        <v>95</v>
      </c>
      <c r="C3" t="s">
        <v>4050</v>
      </c>
      <c r="D3">
        <v>2023</v>
      </c>
      <c r="E3" t="s">
        <v>2053</v>
      </c>
      <c r="F3" s="52" t="s">
        <v>4490</v>
      </c>
      <c r="G3" s="275">
        <f>'Autonomie 2023 LDV'!$AQ$3</f>
        <v>0.63209064851648689</v>
      </c>
      <c r="H3" s="275">
        <f>'Autonomie 2023 LDV'!$AQ$3</f>
        <v>0.63209064851648689</v>
      </c>
      <c r="I3" s="275">
        <f>'Autonomie 2023 LDV'!$AQ$3</f>
        <v>0.63209064851648689</v>
      </c>
      <c r="J3" s="275">
        <f>'Autonomie 2023 LDV'!$AQ$3</f>
        <v>0.63209064851648689</v>
      </c>
      <c r="K3" s="275">
        <f>'Autonomie 2023 LDV'!$AQ$3</f>
        <v>0.63209064851648689</v>
      </c>
      <c r="L3" s="275">
        <f>'Autonomie 2023 LDV'!$AQ$3</f>
        <v>0.63209064851648689</v>
      </c>
      <c r="M3" s="596">
        <f>'Autonomie 2023 LDV'!$AQ$3</f>
        <v>0.63209064851648689</v>
      </c>
      <c r="N3" t="s">
        <v>4492</v>
      </c>
      <c r="O3" s="717">
        <v>3</v>
      </c>
      <c r="P3" s="377">
        <v>1</v>
      </c>
      <c r="Q3" s="377">
        <v>1</v>
      </c>
      <c r="R3" s="377">
        <v>3</v>
      </c>
      <c r="S3" s="377">
        <v>1</v>
      </c>
    </row>
    <row r="4" spans="1:19" x14ac:dyDescent="0.25">
      <c r="A4" t="s">
        <v>4393</v>
      </c>
      <c r="B4" t="s">
        <v>95</v>
      </c>
      <c r="C4" t="s">
        <v>4050</v>
      </c>
      <c r="D4">
        <v>2023</v>
      </c>
      <c r="E4" t="s">
        <v>4773</v>
      </c>
      <c r="F4" s="52" t="s">
        <v>4490</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6">
        <f t="shared" si="0"/>
        <v>0.36790935148351311</v>
      </c>
      <c r="N4" t="s">
        <v>4493</v>
      </c>
      <c r="O4" s="717">
        <v>3</v>
      </c>
      <c r="P4" s="377">
        <v>1</v>
      </c>
      <c r="Q4" s="377">
        <v>1</v>
      </c>
      <c r="R4" s="377">
        <v>3</v>
      </c>
      <c r="S4" s="377">
        <v>1</v>
      </c>
    </row>
    <row r="5" spans="1:19" x14ac:dyDescent="0.25">
      <c r="A5" t="s">
        <v>1859</v>
      </c>
      <c r="B5" t="s">
        <v>95</v>
      </c>
      <c r="C5" t="s">
        <v>4050</v>
      </c>
      <c r="D5">
        <v>2023</v>
      </c>
      <c r="E5" t="s">
        <v>2053</v>
      </c>
      <c r="F5" s="52" t="s">
        <v>2061</v>
      </c>
      <c r="G5" s="275">
        <f>'Autonomie 2023 LDV'!$AR$3</f>
        <v>0.50210031929085408</v>
      </c>
      <c r="H5" s="275">
        <f>'Autonomie 2023 LDV'!$AR$3</f>
        <v>0.50210031929085408</v>
      </c>
      <c r="I5" s="275">
        <f>'Autonomie 2023 LDV'!$AR$3</f>
        <v>0.50210031929085408</v>
      </c>
      <c r="J5" s="275">
        <f>'Autonomie 2023 LDV'!$AR$3</f>
        <v>0.50210031929085408</v>
      </c>
      <c r="K5" s="275">
        <f>'Autonomie 2023 LDV'!$AR$3</f>
        <v>0.50210031929085408</v>
      </c>
      <c r="L5" s="275">
        <f>'Autonomie 2023 LDV'!$AR$3</f>
        <v>0.50210031929085408</v>
      </c>
      <c r="M5" s="596">
        <f>'Autonomie 2023 LDV'!$AR$3</f>
        <v>0.50210031929085408</v>
      </c>
      <c r="N5" t="s">
        <v>4046</v>
      </c>
      <c r="O5" s="717">
        <v>3</v>
      </c>
      <c r="P5" s="377">
        <v>1</v>
      </c>
      <c r="Q5" s="377">
        <v>1</v>
      </c>
      <c r="R5" s="377">
        <v>3</v>
      </c>
      <c r="S5" s="377">
        <v>1</v>
      </c>
    </row>
    <row r="6" spans="1:19" x14ac:dyDescent="0.25">
      <c r="A6" t="s">
        <v>1859</v>
      </c>
      <c r="B6" t="s">
        <v>95</v>
      </c>
      <c r="C6" t="s">
        <v>4050</v>
      </c>
      <c r="D6">
        <v>2023</v>
      </c>
      <c r="E6" t="s">
        <v>4773</v>
      </c>
      <c r="F6" s="52" t="s">
        <v>2061</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6">
        <f t="shared" si="1"/>
        <v>0.49789968070914592</v>
      </c>
      <c r="N6" t="s">
        <v>4047</v>
      </c>
      <c r="O6" s="717">
        <v>3</v>
      </c>
      <c r="P6" s="377">
        <v>1</v>
      </c>
      <c r="Q6" s="377">
        <v>1</v>
      </c>
      <c r="R6" s="377">
        <v>3</v>
      </c>
      <c r="S6" s="377">
        <v>1</v>
      </c>
    </row>
    <row r="7" spans="1:19" x14ac:dyDescent="0.25">
      <c r="A7" t="s">
        <v>1893</v>
      </c>
      <c r="B7" t="s">
        <v>95</v>
      </c>
      <c r="C7" t="s">
        <v>4050</v>
      </c>
      <c r="D7">
        <v>2023</v>
      </c>
      <c r="E7" t="s">
        <v>2054</v>
      </c>
      <c r="F7" s="52" t="s">
        <v>4040</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6">
        <f>'Autonomie 2023 MHDV'!$AV$6</f>
        <v>0.63295458190935094</v>
      </c>
      <c r="N7" t="s">
        <v>4048</v>
      </c>
      <c r="O7" s="717">
        <v>3</v>
      </c>
      <c r="P7" s="377">
        <v>1</v>
      </c>
      <c r="Q7" s="377">
        <v>1</v>
      </c>
      <c r="R7" s="377">
        <v>3</v>
      </c>
      <c r="S7" s="377">
        <v>1</v>
      </c>
    </row>
    <row r="8" spans="1:19" x14ac:dyDescent="0.25">
      <c r="A8" t="s">
        <v>1893</v>
      </c>
      <c r="B8" t="s">
        <v>95</v>
      </c>
      <c r="C8" t="s">
        <v>4050</v>
      </c>
      <c r="D8">
        <v>2023</v>
      </c>
      <c r="E8" t="s">
        <v>2062</v>
      </c>
      <c r="F8" s="52" t="s">
        <v>4040</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6">
        <f t="shared" si="2"/>
        <v>0.36704541809064906</v>
      </c>
      <c r="N8" t="s">
        <v>4048</v>
      </c>
      <c r="O8" s="717">
        <v>3</v>
      </c>
      <c r="P8" s="377">
        <v>1</v>
      </c>
      <c r="Q8" s="377">
        <v>1</v>
      </c>
      <c r="R8" s="377">
        <v>3</v>
      </c>
      <c r="S8" s="377">
        <v>1</v>
      </c>
    </row>
    <row r="9" spans="1:19" x14ac:dyDescent="0.25">
      <c r="A9" t="s">
        <v>1894</v>
      </c>
      <c r="B9" t="s">
        <v>95</v>
      </c>
      <c r="C9" t="s">
        <v>4050</v>
      </c>
      <c r="D9">
        <v>2023</v>
      </c>
      <c r="E9" t="s">
        <v>2054</v>
      </c>
      <c r="F9" s="52" t="s">
        <v>4038</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6">
        <f>'Autonomie 2023 MHDV'!$AV$9</f>
        <v>0.39662766784695136</v>
      </c>
      <c r="N9" t="s">
        <v>4049</v>
      </c>
      <c r="O9" s="717">
        <v>3</v>
      </c>
      <c r="P9" s="377">
        <v>1</v>
      </c>
      <c r="Q9" s="377">
        <v>1</v>
      </c>
      <c r="R9" s="377">
        <v>3</v>
      </c>
      <c r="S9" s="377">
        <v>1</v>
      </c>
    </row>
    <row r="10" spans="1:19" x14ac:dyDescent="0.25">
      <c r="A10" t="s">
        <v>1894</v>
      </c>
      <c r="B10" t="s">
        <v>95</v>
      </c>
      <c r="C10" t="s">
        <v>4050</v>
      </c>
      <c r="D10">
        <v>2023</v>
      </c>
      <c r="E10" t="s">
        <v>2063</v>
      </c>
      <c r="F10" s="52" t="s">
        <v>4038</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6">
        <f t="shared" si="3"/>
        <v>0.60337233215304864</v>
      </c>
      <c r="N10" t="s">
        <v>4049</v>
      </c>
      <c r="O10" s="717">
        <v>3</v>
      </c>
      <c r="P10" s="377">
        <v>1</v>
      </c>
      <c r="Q10" s="377">
        <v>1</v>
      </c>
      <c r="R10" s="377">
        <v>3</v>
      </c>
      <c r="S10" s="377">
        <v>1</v>
      </c>
    </row>
    <row r="11" spans="1:19" x14ac:dyDescent="0.25">
      <c r="A11" t="s">
        <v>1824</v>
      </c>
      <c r="B11" t="s">
        <v>95</v>
      </c>
      <c r="C11" t="s">
        <v>1861</v>
      </c>
      <c r="D11">
        <v>2020</v>
      </c>
      <c r="E11" t="s">
        <v>2028</v>
      </c>
      <c r="F11" s="52" t="s">
        <v>2053</v>
      </c>
      <c r="G11" s="275">
        <v>0.1</v>
      </c>
      <c r="H11" s="275">
        <v>0.11</v>
      </c>
      <c r="I11" s="275">
        <v>0.15</v>
      </c>
      <c r="J11" s="275">
        <v>0.15</v>
      </c>
      <c r="K11" s="275">
        <v>0.15</v>
      </c>
      <c r="L11" s="275">
        <v>0.15</v>
      </c>
      <c r="M11" s="596">
        <v>0.15</v>
      </c>
      <c r="N11" t="s">
        <v>1912</v>
      </c>
      <c r="O11" s="717">
        <v>1</v>
      </c>
      <c r="P11" s="377">
        <v>1</v>
      </c>
      <c r="Q11" s="377">
        <v>1</v>
      </c>
      <c r="R11" s="377">
        <v>1</v>
      </c>
      <c r="S11" s="377">
        <v>1</v>
      </c>
    </row>
    <row r="12" spans="1:19" x14ac:dyDescent="0.25">
      <c r="A12" t="s">
        <v>1824</v>
      </c>
      <c r="B12" t="s">
        <v>95</v>
      </c>
      <c r="C12" t="s">
        <v>1861</v>
      </c>
      <c r="D12">
        <v>2020</v>
      </c>
      <c r="E12" t="s">
        <v>2027</v>
      </c>
      <c r="F12" s="52" t="s">
        <v>2053</v>
      </c>
      <c r="G12" s="275">
        <f>1-G11</f>
        <v>0.9</v>
      </c>
      <c r="H12" s="275">
        <f t="shared" ref="H12:M12" si="4">1-H11</f>
        <v>0.89</v>
      </c>
      <c r="I12" s="275">
        <f t="shared" si="4"/>
        <v>0.85</v>
      </c>
      <c r="J12" s="275">
        <f t="shared" si="4"/>
        <v>0.85</v>
      </c>
      <c r="K12" s="275">
        <f t="shared" si="4"/>
        <v>0.85</v>
      </c>
      <c r="L12" s="275">
        <f t="shared" si="4"/>
        <v>0.85</v>
      </c>
      <c r="M12" s="596">
        <f t="shared" si="4"/>
        <v>0.85</v>
      </c>
      <c r="N12" t="s">
        <v>1912</v>
      </c>
      <c r="O12" s="717">
        <v>1</v>
      </c>
      <c r="P12" s="377">
        <v>1</v>
      </c>
      <c r="Q12" s="377">
        <v>1</v>
      </c>
      <c r="R12" s="377">
        <v>1</v>
      </c>
      <c r="S12" s="377">
        <v>1</v>
      </c>
    </row>
    <row r="13" spans="1:19" x14ac:dyDescent="0.25">
      <c r="A13" t="s">
        <v>2948</v>
      </c>
      <c r="B13" t="s">
        <v>95</v>
      </c>
      <c r="C13" t="s">
        <v>1861</v>
      </c>
      <c r="D13">
        <v>2020</v>
      </c>
      <c r="E13" t="s">
        <v>2083</v>
      </c>
      <c r="F13" s="52" t="s">
        <v>2054</v>
      </c>
      <c r="G13" s="275">
        <v>0.04</v>
      </c>
      <c r="H13" s="275">
        <v>0.04</v>
      </c>
      <c r="I13" s="275">
        <v>0.04</v>
      </c>
      <c r="J13" s="275">
        <v>0.04</v>
      </c>
      <c r="K13" s="275">
        <v>0.04</v>
      </c>
      <c r="L13" s="275">
        <v>0.04</v>
      </c>
      <c r="M13" s="596">
        <v>0.04</v>
      </c>
      <c r="N13" t="s">
        <v>1912</v>
      </c>
      <c r="O13" s="717">
        <v>1</v>
      </c>
      <c r="P13" s="377">
        <v>1</v>
      </c>
      <c r="Q13" s="377">
        <v>1</v>
      </c>
      <c r="R13" s="377">
        <v>1</v>
      </c>
      <c r="S13" s="377">
        <v>1</v>
      </c>
    </row>
    <row r="14" spans="1:19" x14ac:dyDescent="0.25">
      <c r="A14" t="s">
        <v>2948</v>
      </c>
      <c r="B14" t="s">
        <v>95</v>
      </c>
      <c r="C14" t="s">
        <v>1861</v>
      </c>
      <c r="D14">
        <v>2020</v>
      </c>
      <c r="E14" t="s">
        <v>2029</v>
      </c>
      <c r="F14" s="52" t="s">
        <v>2054</v>
      </c>
      <c r="G14" s="275">
        <f>1-G13</f>
        <v>0.96</v>
      </c>
      <c r="H14" s="275">
        <f t="shared" ref="H14:M14" si="5">1-H13</f>
        <v>0.96</v>
      </c>
      <c r="I14" s="275">
        <f t="shared" si="5"/>
        <v>0.96</v>
      </c>
      <c r="J14" s="275">
        <f t="shared" si="5"/>
        <v>0.96</v>
      </c>
      <c r="K14" s="275">
        <f t="shared" si="5"/>
        <v>0.96</v>
      </c>
      <c r="L14" s="275">
        <f t="shared" si="5"/>
        <v>0.96</v>
      </c>
      <c r="M14" s="596">
        <f t="shared" si="5"/>
        <v>0.96</v>
      </c>
      <c r="N14" t="s">
        <v>1912</v>
      </c>
      <c r="O14" s="717">
        <v>1</v>
      </c>
      <c r="P14" s="377">
        <v>1</v>
      </c>
      <c r="Q14" s="377">
        <v>1</v>
      </c>
      <c r="R14" s="377">
        <v>1</v>
      </c>
      <c r="S14" s="377">
        <v>1</v>
      </c>
    </row>
    <row r="15" spans="1:19" x14ac:dyDescent="0.25">
      <c r="A15" t="s">
        <v>1866</v>
      </c>
      <c r="B15" t="s">
        <v>95</v>
      </c>
      <c r="C15" t="s">
        <v>1829</v>
      </c>
      <c r="D15">
        <v>2023</v>
      </c>
      <c r="E15" t="s">
        <v>2031</v>
      </c>
      <c r="F15" s="52" t="s">
        <v>2057</v>
      </c>
      <c r="G15" s="275">
        <v>0.5</v>
      </c>
      <c r="H15" s="275">
        <v>0.5</v>
      </c>
      <c r="I15" s="275">
        <v>0.5</v>
      </c>
      <c r="J15" s="275">
        <v>0.5</v>
      </c>
      <c r="K15" s="275">
        <v>0.5</v>
      </c>
      <c r="L15" s="275">
        <v>0.5</v>
      </c>
      <c r="M15" s="596">
        <v>0.5</v>
      </c>
      <c r="N15" t="s">
        <v>1913</v>
      </c>
      <c r="O15" s="717">
        <v>1</v>
      </c>
      <c r="P15" s="377">
        <v>1</v>
      </c>
      <c r="Q15" s="377">
        <v>1</v>
      </c>
      <c r="R15" s="377">
        <v>1</v>
      </c>
      <c r="S15" s="377">
        <v>1</v>
      </c>
    </row>
    <row r="16" spans="1:19" x14ac:dyDescent="0.25">
      <c r="A16" t="s">
        <v>1866</v>
      </c>
      <c r="B16" t="s">
        <v>95</v>
      </c>
      <c r="C16" t="s">
        <v>1829</v>
      </c>
      <c r="D16">
        <v>2023</v>
      </c>
      <c r="E16" t="s">
        <v>2030</v>
      </c>
      <c r="F16" s="52" t="s">
        <v>2057</v>
      </c>
      <c r="G16" s="275">
        <f>1-G15</f>
        <v>0.5</v>
      </c>
      <c r="H16" s="275">
        <f t="shared" ref="H16:M16" si="6">1-H15</f>
        <v>0.5</v>
      </c>
      <c r="I16" s="275">
        <f t="shared" si="6"/>
        <v>0.5</v>
      </c>
      <c r="J16" s="275">
        <f t="shared" si="6"/>
        <v>0.5</v>
      </c>
      <c r="K16" s="275">
        <f t="shared" si="6"/>
        <v>0.5</v>
      </c>
      <c r="L16" s="275">
        <f t="shared" si="6"/>
        <v>0.5</v>
      </c>
      <c r="M16" s="596">
        <f t="shared" si="6"/>
        <v>0.5</v>
      </c>
      <c r="N16" t="s">
        <v>1913</v>
      </c>
      <c r="O16" s="717">
        <v>1</v>
      </c>
      <c r="P16" s="377">
        <v>1</v>
      </c>
      <c r="Q16" s="377">
        <v>1</v>
      </c>
      <c r="R16" s="377">
        <v>1</v>
      </c>
      <c r="S16" s="377">
        <v>1</v>
      </c>
    </row>
    <row r="17" spans="1:19" s="74" customFormat="1" x14ac:dyDescent="0.25">
      <c r="A17" s="74" t="s">
        <v>1865</v>
      </c>
      <c r="B17" s="74" t="s">
        <v>95</v>
      </c>
      <c r="E17" s="74" t="s">
        <v>2031</v>
      </c>
      <c r="F17" s="346" t="s">
        <v>2056</v>
      </c>
      <c r="G17" s="745">
        <v>0</v>
      </c>
      <c r="H17" s="745">
        <v>0</v>
      </c>
      <c r="I17" s="745">
        <v>0</v>
      </c>
      <c r="J17" s="745">
        <v>0</v>
      </c>
      <c r="K17" s="745">
        <v>0</v>
      </c>
      <c r="L17" s="745">
        <v>0</v>
      </c>
      <c r="M17" s="746">
        <v>0</v>
      </c>
      <c r="O17" s="743"/>
      <c r="P17" s="744"/>
      <c r="Q17" s="744"/>
      <c r="R17" s="744"/>
      <c r="S17" s="744"/>
    </row>
    <row r="18" spans="1:19" s="74" customFormat="1" x14ac:dyDescent="0.25">
      <c r="A18" s="74" t="s">
        <v>1865</v>
      </c>
      <c r="B18" s="74" t="s">
        <v>95</v>
      </c>
      <c r="E18" s="74" t="s">
        <v>2030</v>
      </c>
      <c r="F18" s="346" t="s">
        <v>2056</v>
      </c>
      <c r="G18" s="745">
        <v>1</v>
      </c>
      <c r="H18" s="745">
        <v>1</v>
      </c>
      <c r="I18" s="745">
        <v>1</v>
      </c>
      <c r="J18" s="745">
        <v>1</v>
      </c>
      <c r="K18" s="745">
        <v>1</v>
      </c>
      <c r="L18" s="745">
        <v>1</v>
      </c>
      <c r="M18" s="746">
        <v>1</v>
      </c>
      <c r="O18" s="743"/>
      <c r="P18" s="744"/>
      <c r="Q18" s="744"/>
      <c r="R18" s="744"/>
      <c r="S18" s="744"/>
    </row>
    <row r="19" spans="1:19" x14ac:dyDescent="0.25">
      <c r="A19" t="s">
        <v>1869</v>
      </c>
      <c r="B19" t="s">
        <v>95</v>
      </c>
      <c r="C19" t="s">
        <v>1644</v>
      </c>
      <c r="D19">
        <v>2022</v>
      </c>
      <c r="E19" t="s">
        <v>4080</v>
      </c>
      <c r="F19" s="52" t="s">
        <v>2033</v>
      </c>
      <c r="G19" s="275">
        <v>4.8000000000000001E-2</v>
      </c>
      <c r="H19" s="275">
        <v>4.8000000000000001E-2</v>
      </c>
      <c r="I19" s="275">
        <v>4.8000000000000001E-2</v>
      </c>
      <c r="J19" s="275">
        <v>4.8000000000000001E-2</v>
      </c>
      <c r="K19" s="275">
        <v>4.8000000000000001E-2</v>
      </c>
      <c r="L19" s="275">
        <v>4.8000000000000001E-2</v>
      </c>
      <c r="M19" s="596">
        <v>4.8000000000000001E-2</v>
      </c>
      <c r="N19" t="s">
        <v>1914</v>
      </c>
      <c r="O19" s="717">
        <v>3</v>
      </c>
      <c r="P19" s="377">
        <v>1</v>
      </c>
      <c r="Q19" s="377">
        <v>1</v>
      </c>
      <c r="R19" s="377">
        <v>3</v>
      </c>
      <c r="S19" s="377">
        <v>1</v>
      </c>
    </row>
    <row r="20" spans="1:19" x14ac:dyDescent="0.25">
      <c r="A20" t="s">
        <v>1869</v>
      </c>
      <c r="B20" t="s">
        <v>95</v>
      </c>
      <c r="C20" t="s">
        <v>1644</v>
      </c>
      <c r="D20">
        <v>2022</v>
      </c>
      <c r="E20" t="s">
        <v>2032</v>
      </c>
      <c r="F20" s="52" t="s">
        <v>2033</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6">
        <f t="shared" si="7"/>
        <v>0.95199999999999996</v>
      </c>
      <c r="N20" t="s">
        <v>1914</v>
      </c>
      <c r="O20" s="717">
        <v>3</v>
      </c>
      <c r="P20" s="377">
        <v>1</v>
      </c>
      <c r="Q20" s="377">
        <v>1</v>
      </c>
      <c r="R20" s="377">
        <v>3</v>
      </c>
      <c r="S20" s="377">
        <v>1</v>
      </c>
    </row>
    <row r="21" spans="1:19" x14ac:dyDescent="0.25">
      <c r="A21" t="s">
        <v>2882</v>
      </c>
      <c r="B21" t="s">
        <v>95</v>
      </c>
      <c r="C21" t="s">
        <v>1644</v>
      </c>
      <c r="D21">
        <v>2022</v>
      </c>
      <c r="E21" t="s">
        <v>4080</v>
      </c>
      <c r="F21" s="52" t="s">
        <v>2032</v>
      </c>
      <c r="G21" s="275">
        <v>5.7000000000000002E-2</v>
      </c>
      <c r="H21" s="275">
        <v>5.7000000000000002E-2</v>
      </c>
      <c r="I21" s="275">
        <v>5.7000000000000002E-2</v>
      </c>
      <c r="J21" s="275">
        <v>5.7000000000000002E-2</v>
      </c>
      <c r="K21" s="275">
        <v>5.7000000000000002E-2</v>
      </c>
      <c r="L21" s="275">
        <v>5.7000000000000002E-2</v>
      </c>
      <c r="M21" s="596">
        <v>5.7000000000000002E-2</v>
      </c>
      <c r="N21" t="s">
        <v>2932</v>
      </c>
      <c r="O21" s="717">
        <v>3</v>
      </c>
      <c r="P21" s="377">
        <v>1</v>
      </c>
      <c r="Q21" s="377">
        <v>1</v>
      </c>
      <c r="R21" s="377">
        <v>3</v>
      </c>
      <c r="S21" s="377">
        <v>1</v>
      </c>
    </row>
    <row r="22" spans="1:19" x14ac:dyDescent="0.25">
      <c r="A22" t="s">
        <v>2882</v>
      </c>
      <c r="B22" t="s">
        <v>95</v>
      </c>
      <c r="C22" t="s">
        <v>1644</v>
      </c>
      <c r="D22">
        <v>2022</v>
      </c>
      <c r="E22" t="s">
        <v>2891</v>
      </c>
      <c r="F22" s="52" t="s">
        <v>2032</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6">
        <f t="shared" si="8"/>
        <v>0.94299999999999995</v>
      </c>
      <c r="N22" t="s">
        <v>2932</v>
      </c>
      <c r="O22" s="717">
        <v>3</v>
      </c>
      <c r="P22" s="377">
        <v>1</v>
      </c>
      <c r="Q22" s="377">
        <v>1</v>
      </c>
      <c r="R22" s="377">
        <v>3</v>
      </c>
      <c r="S22" s="377">
        <v>1</v>
      </c>
    </row>
    <row r="23" spans="1:19" x14ac:dyDescent="0.25">
      <c r="G23" s="275"/>
      <c r="H23" s="275"/>
      <c r="I23" s="275"/>
      <c r="J23" s="275"/>
      <c r="K23" s="275"/>
      <c r="L23" s="275"/>
      <c r="M23" s="596"/>
      <c r="O23" s="717"/>
    </row>
    <row r="24" spans="1:19" x14ac:dyDescent="0.25">
      <c r="G24" s="275"/>
      <c r="H24" s="275"/>
      <c r="I24" s="275"/>
      <c r="J24" s="275"/>
      <c r="K24" s="275"/>
      <c r="L24" s="275"/>
      <c r="M24" s="596"/>
      <c r="O24" s="717"/>
    </row>
    <row r="25" spans="1:19" x14ac:dyDescent="0.25">
      <c r="G25" s="275"/>
      <c r="H25" s="275"/>
      <c r="I25" s="275"/>
      <c r="J25" s="275"/>
      <c r="K25" s="275"/>
      <c r="L25" s="275"/>
      <c r="M25" s="596"/>
      <c r="O25" s="717"/>
    </row>
    <row r="26" spans="1:19" x14ac:dyDescent="0.25">
      <c r="G26" s="275"/>
      <c r="H26" s="275"/>
      <c r="I26" s="275"/>
      <c r="J26" s="275"/>
      <c r="K26" s="275"/>
      <c r="L26" s="275"/>
      <c r="M26" s="596"/>
      <c r="O26" s="717"/>
    </row>
    <row r="27" spans="1:19" x14ac:dyDescent="0.25">
      <c r="G27" s="275"/>
      <c r="H27" s="275"/>
      <c r="I27" s="275"/>
      <c r="J27" s="275"/>
      <c r="K27" s="275"/>
      <c r="L27" s="275"/>
      <c r="M27" s="596"/>
      <c r="O27" s="717"/>
    </row>
    <row r="28" spans="1:19" x14ac:dyDescent="0.25">
      <c r="G28" s="275"/>
      <c r="H28" s="275"/>
      <c r="I28" s="275"/>
      <c r="J28" s="275"/>
      <c r="K28" s="275"/>
      <c r="L28" s="275"/>
      <c r="M28" s="596"/>
      <c r="O28" s="717"/>
    </row>
    <row r="29" spans="1:19" x14ac:dyDescent="0.25">
      <c r="O29" s="717"/>
    </row>
    <row r="30" spans="1:19" x14ac:dyDescent="0.25">
      <c r="O30" s="717"/>
    </row>
    <row r="31" spans="1:19" x14ac:dyDescent="0.25">
      <c r="N31" s="52"/>
    </row>
    <row r="32" spans="1:19" x14ac:dyDescent="0.25">
      <c r="N32" s="52"/>
    </row>
    <row r="33" spans="15:15" x14ac:dyDescent="0.25">
      <c r="O33" s="717"/>
    </row>
    <row r="34" spans="15:15" x14ac:dyDescent="0.25">
      <c r="O34" s="717"/>
    </row>
    <row r="35" spans="15:15" x14ac:dyDescent="0.25">
      <c r="O35" s="717"/>
    </row>
    <row r="36" spans="15:15" x14ac:dyDescent="0.25">
      <c r="O36" s="717"/>
    </row>
    <row r="37" spans="15:15" x14ac:dyDescent="0.25">
      <c r="O37" s="717"/>
    </row>
    <row r="38" spans="15:15" x14ac:dyDescent="0.25">
      <c r="O38" s="717"/>
    </row>
    <row r="39" spans="15:15" x14ac:dyDescent="0.25">
      <c r="O39" s="717"/>
    </row>
    <row r="40" spans="15:15" x14ac:dyDescent="0.25">
      <c r="O40" s="717"/>
    </row>
    <row r="41" spans="15:15" x14ac:dyDescent="0.25">
      <c r="O41" s="717"/>
    </row>
    <row r="42" spans="15:15" x14ac:dyDescent="0.25">
      <c r="O42" s="717"/>
    </row>
    <row r="43" spans="15:15" x14ac:dyDescent="0.25">
      <c r="O43" s="717"/>
    </row>
    <row r="44" spans="15:15" x14ac:dyDescent="0.25">
      <c r="O44" s="717"/>
    </row>
    <row r="45" spans="15:15" x14ac:dyDescent="0.25">
      <c r="O45" s="717"/>
    </row>
    <row r="46" spans="15:15" x14ac:dyDescent="0.25">
      <c r="O46" s="717"/>
    </row>
    <row r="47" spans="15:15" x14ac:dyDescent="0.25">
      <c r="O47" s="717"/>
    </row>
    <row r="48" spans="15:15" x14ac:dyDescent="0.25">
      <c r="O48" s="717"/>
    </row>
    <row r="49" spans="15:15" x14ac:dyDescent="0.25">
      <c r="O49" s="717"/>
    </row>
    <row r="50" spans="15:15" x14ac:dyDescent="0.25">
      <c r="O50" s="717"/>
    </row>
    <row r="51" spans="15:15" x14ac:dyDescent="0.25">
      <c r="O51" s="717"/>
    </row>
    <row r="52" spans="15:15" x14ac:dyDescent="0.25">
      <c r="O52" s="717"/>
    </row>
    <row r="53" spans="15:15" x14ac:dyDescent="0.25">
      <c r="O53" s="717"/>
    </row>
    <row r="54" spans="15:15" x14ac:dyDescent="0.25">
      <c r="O54" s="717"/>
    </row>
    <row r="55" spans="15:15" x14ac:dyDescent="0.25">
      <c r="O55" s="717"/>
    </row>
    <row r="56" spans="15:15" x14ac:dyDescent="0.25">
      <c r="O56" s="717"/>
    </row>
    <row r="57" spans="15:15" x14ac:dyDescent="0.25">
      <c r="O57" s="717"/>
    </row>
    <row r="58" spans="15:15" x14ac:dyDescent="0.25">
      <c r="O58" s="717"/>
    </row>
    <row r="59" spans="15:15" x14ac:dyDescent="0.25">
      <c r="O59" s="717"/>
    </row>
    <row r="60" spans="15:15" x14ac:dyDescent="0.25">
      <c r="O60" s="717"/>
    </row>
    <row r="61" spans="15:15" x14ac:dyDescent="0.25">
      <c r="O61" s="717"/>
    </row>
    <row r="62" spans="15:15" x14ac:dyDescent="0.25">
      <c r="O62" s="717"/>
    </row>
    <row r="63" spans="15:15" x14ac:dyDescent="0.25">
      <c r="O63" s="717"/>
    </row>
    <row r="64" spans="15:15" x14ac:dyDescent="0.25">
      <c r="O64" s="717"/>
    </row>
    <row r="65" spans="15:15" x14ac:dyDescent="0.25">
      <c r="O65" s="717"/>
    </row>
    <row r="66" spans="15:15" x14ac:dyDescent="0.25">
      <c r="O66" s="717"/>
    </row>
    <row r="67" spans="15:15" x14ac:dyDescent="0.25">
      <c r="O67" s="717"/>
    </row>
    <row r="68" spans="15:15" x14ac:dyDescent="0.25">
      <c r="O68" s="717"/>
    </row>
    <row r="69" spans="15:15" x14ac:dyDescent="0.25">
      <c r="O69" s="717"/>
    </row>
    <row r="70" spans="15:15" x14ac:dyDescent="0.25">
      <c r="O70" s="717"/>
    </row>
    <row r="71" spans="15:15" x14ac:dyDescent="0.25">
      <c r="O71" s="717"/>
    </row>
    <row r="72" spans="15:15" x14ac:dyDescent="0.25">
      <c r="O72" s="717"/>
    </row>
    <row r="73" spans="15:15" x14ac:dyDescent="0.25">
      <c r="O73" s="717"/>
    </row>
    <row r="74" spans="15:15" x14ac:dyDescent="0.25">
      <c r="O74" s="717"/>
    </row>
    <row r="75" spans="15:15" x14ac:dyDescent="0.25">
      <c r="O75" s="717"/>
    </row>
    <row r="76" spans="15:15" x14ac:dyDescent="0.25">
      <c r="O76" s="717"/>
    </row>
    <row r="77" spans="15:15" x14ac:dyDescent="0.25">
      <c r="O77" s="717"/>
    </row>
    <row r="78" spans="15:15" x14ac:dyDescent="0.25">
      <c r="O78" s="717"/>
    </row>
    <row r="79" spans="15:15" x14ac:dyDescent="0.25">
      <c r="O79" s="717"/>
    </row>
    <row r="80" spans="15:15" x14ac:dyDescent="0.25">
      <c r="O80" s="717"/>
    </row>
    <row r="81" spans="15:15" x14ac:dyDescent="0.25">
      <c r="O81" s="717"/>
    </row>
    <row r="82" spans="15:15" x14ac:dyDescent="0.25">
      <c r="O82" s="717"/>
    </row>
    <row r="83" spans="15:15" x14ac:dyDescent="0.25">
      <c r="O83" s="717"/>
    </row>
    <row r="84" spans="15:15" x14ac:dyDescent="0.25">
      <c r="O84" s="717"/>
    </row>
    <row r="85" spans="15:15" x14ac:dyDescent="0.25">
      <c r="O85" s="717"/>
    </row>
    <row r="86" spans="15:15" x14ac:dyDescent="0.25">
      <c r="O86" s="717"/>
    </row>
    <row r="87" spans="15:15" x14ac:dyDescent="0.25">
      <c r="O87" s="717"/>
    </row>
    <row r="88" spans="15:15" x14ac:dyDescent="0.25">
      <c r="O88" s="717"/>
    </row>
    <row r="89" spans="15:15" x14ac:dyDescent="0.25">
      <c r="O89" s="717"/>
    </row>
    <row r="90" spans="15:15" x14ac:dyDescent="0.25">
      <c r="O90" s="717"/>
    </row>
    <row r="91" spans="15:15" x14ac:dyDescent="0.25">
      <c r="O91" s="717"/>
    </row>
    <row r="92" spans="15:15" x14ac:dyDescent="0.25">
      <c r="O92" s="717"/>
    </row>
    <row r="93" spans="15:15" x14ac:dyDescent="0.25">
      <c r="O93" s="717"/>
    </row>
    <row r="94" spans="15:15" x14ac:dyDescent="0.25">
      <c r="O94" s="717"/>
    </row>
    <row r="95" spans="15:15" x14ac:dyDescent="0.25">
      <c r="O95" s="717"/>
    </row>
    <row r="96" spans="15:15" x14ac:dyDescent="0.25">
      <c r="O96" s="717"/>
    </row>
    <row r="97" spans="15:15" x14ac:dyDescent="0.25">
      <c r="O97" s="717"/>
    </row>
    <row r="98" spans="15:15" x14ac:dyDescent="0.25">
      <c r="O98" s="717"/>
    </row>
    <row r="99" spans="15:15" x14ac:dyDescent="0.25">
      <c r="O99" s="717"/>
    </row>
    <row r="100" spans="15:15" x14ac:dyDescent="0.25">
      <c r="O100" s="717"/>
    </row>
    <row r="101" spans="15:15" x14ac:dyDescent="0.25">
      <c r="O101" s="717"/>
    </row>
    <row r="102" spans="15:15" x14ac:dyDescent="0.25">
      <c r="O102" s="717"/>
    </row>
    <row r="103" spans="15:15" x14ac:dyDescent="0.25">
      <c r="O103" s="717"/>
    </row>
    <row r="104" spans="15:15" x14ac:dyDescent="0.25">
      <c r="O104" s="717"/>
    </row>
    <row r="105" spans="15:15" x14ac:dyDescent="0.25">
      <c r="O105" s="717"/>
    </row>
    <row r="106" spans="15:15" x14ac:dyDescent="0.25">
      <c r="O106" s="717"/>
    </row>
    <row r="107" spans="15:15" x14ac:dyDescent="0.25">
      <c r="O107" s="717"/>
    </row>
    <row r="108" spans="15:15" x14ac:dyDescent="0.25">
      <c r="O108" s="717"/>
    </row>
    <row r="109" spans="15:15" x14ac:dyDescent="0.25">
      <c r="O109" s="717"/>
    </row>
    <row r="110" spans="15:15" x14ac:dyDescent="0.25">
      <c r="O110" s="717"/>
    </row>
    <row r="111" spans="15:15" x14ac:dyDescent="0.25">
      <c r="O111" s="717"/>
    </row>
    <row r="112" spans="15:15" x14ac:dyDescent="0.25">
      <c r="O112" s="717"/>
    </row>
    <row r="113" spans="15:15" x14ac:dyDescent="0.25">
      <c r="O113" s="717"/>
    </row>
    <row r="114" spans="15:15" x14ac:dyDescent="0.25">
      <c r="O114" s="717"/>
    </row>
    <row r="115" spans="15:15" x14ac:dyDescent="0.25">
      <c r="O115" s="717"/>
    </row>
    <row r="116" spans="15:15" x14ac:dyDescent="0.25">
      <c r="O116" s="717"/>
    </row>
    <row r="117" spans="15:15" x14ac:dyDescent="0.25">
      <c r="O117" s="717"/>
    </row>
    <row r="118" spans="15:15" x14ac:dyDescent="0.25">
      <c r="O118" s="717"/>
    </row>
    <row r="119" spans="15:15" x14ac:dyDescent="0.25">
      <c r="O119" s="717"/>
    </row>
    <row r="120" spans="15:15" x14ac:dyDescent="0.25">
      <c r="O120" s="71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7" t="s">
        <v>2155</v>
      </c>
      <c r="C1" s="937"/>
      <c r="D1" s="937"/>
      <c r="E1" s="937"/>
      <c r="F1" s="937"/>
      <c r="G1" s="937"/>
      <c r="H1" s="937"/>
      <c r="I1" s="937"/>
      <c r="J1" s="937"/>
      <c r="K1" s="937"/>
      <c r="L1" s="937"/>
      <c r="M1" s="937"/>
      <c r="N1" s="937"/>
      <c r="O1" s="937"/>
      <c r="P1" s="937"/>
      <c r="Q1" s="937"/>
      <c r="R1" s="937"/>
      <c r="S1" s="937"/>
      <c r="T1" s="937"/>
      <c r="U1" s="937"/>
      <c r="V1" s="937"/>
      <c r="W1" s="937"/>
      <c r="AC1" s="1120" t="s">
        <v>2156</v>
      </c>
      <c r="AD1" s="1121"/>
      <c r="AE1" s="1121"/>
      <c r="AF1" s="1121"/>
      <c r="AG1" s="1121"/>
      <c r="AH1" s="1121"/>
      <c r="AI1" s="1121"/>
      <c r="AJ1" s="1121"/>
      <c r="AK1" s="1121"/>
      <c r="AL1" s="1121"/>
      <c r="AM1" s="1121"/>
      <c r="AN1" s="1121"/>
      <c r="AO1" s="1121"/>
      <c r="AP1" s="1121"/>
      <c r="AQ1" s="1121"/>
      <c r="AR1" s="1122"/>
      <c r="AT1" s="1120" t="s">
        <v>2157</v>
      </c>
      <c r="AU1" s="1121"/>
      <c r="AV1" s="1121"/>
      <c r="AW1" s="1121"/>
      <c r="AX1" s="1121"/>
      <c r="AY1" s="1121"/>
      <c r="AZ1" s="1121"/>
      <c r="BA1" s="1121"/>
      <c r="BB1" s="1121"/>
      <c r="BC1" s="1121"/>
      <c r="BD1" s="1121"/>
      <c r="BE1" s="1121"/>
      <c r="BF1" s="1121"/>
      <c r="BG1" s="1121"/>
      <c r="BH1" s="1121"/>
      <c r="BI1" s="1121"/>
      <c r="BJ1" s="1121"/>
      <c r="BK1" s="1121"/>
      <c r="BL1" s="1121"/>
      <c r="BM1" s="1121"/>
      <c r="BN1" s="1121"/>
      <c r="BO1" s="1121"/>
      <c r="BP1" s="1121"/>
      <c r="BQ1" s="1122"/>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126" t="s">
        <v>670</v>
      </c>
      <c r="AD2" s="1127"/>
      <c r="AE2" s="1127"/>
      <c r="AF2" s="1127"/>
      <c r="AG2" s="1127"/>
      <c r="AH2" s="1127"/>
      <c r="AI2" s="1127"/>
      <c r="AJ2" s="1127"/>
      <c r="AK2" s="1127"/>
      <c r="AL2" s="1127"/>
      <c r="AM2" s="445"/>
      <c r="AN2" s="445"/>
      <c r="AO2" s="1127" t="s">
        <v>793</v>
      </c>
      <c r="AP2" s="1127"/>
      <c r="AQ2" s="1127"/>
      <c r="AR2" s="1139"/>
      <c r="AS2"/>
      <c r="AT2" s="468" t="s">
        <v>1323</v>
      </c>
      <c r="AU2" s="445"/>
      <c r="AV2" s="445"/>
      <c r="AW2" s="445"/>
      <c r="AX2" s="445"/>
      <c r="AY2" s="445"/>
      <c r="AZ2" s="445"/>
      <c r="BA2" s="445"/>
      <c r="BB2" s="445"/>
      <c r="BC2" s="445"/>
      <c r="BD2" s="445"/>
      <c r="BE2" s="445"/>
      <c r="BF2" s="445"/>
      <c r="BG2" s="445"/>
      <c r="BH2" s="445"/>
      <c r="BI2" s="445"/>
      <c r="BJ2" s="445"/>
      <c r="BK2" s="445"/>
      <c r="BL2" s="445"/>
      <c r="BM2" s="445"/>
      <c r="BN2" s="445"/>
      <c r="BO2" s="445"/>
      <c r="BP2" s="445"/>
      <c r="BQ2" s="459"/>
    </row>
    <row r="3" spans="1:69" s="161" customFormat="1" ht="30.75" thickBot="1" x14ac:dyDescent="0.3">
      <c r="A3" s="361" t="s">
        <v>4549</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6"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7" t="s">
        <v>776</v>
      </c>
      <c r="AS3"/>
      <c r="AT3" s="469"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0"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8" t="s">
        <v>17</v>
      </c>
      <c r="AD4" s="449" t="s">
        <v>263</v>
      </c>
      <c r="AE4" s="449" t="s">
        <v>2846</v>
      </c>
      <c r="AF4" s="450" t="s">
        <v>657</v>
      </c>
      <c r="AG4" s="450" t="s">
        <v>658</v>
      </c>
      <c r="AH4" s="451" t="s">
        <v>663</v>
      </c>
      <c r="AI4" s="451" t="s">
        <v>828</v>
      </c>
      <c r="AJ4" s="451" t="s">
        <v>828</v>
      </c>
      <c r="AK4" s="451" t="s">
        <v>828</v>
      </c>
      <c r="AL4" s="451" t="s">
        <v>753</v>
      </c>
      <c r="AM4" s="176" t="s">
        <v>106</v>
      </c>
      <c r="AN4" s="65"/>
      <c r="AO4" s="452" t="s">
        <v>823</v>
      </c>
      <c r="AP4" s="453" t="s">
        <v>825</v>
      </c>
      <c r="AQ4" s="453" t="s">
        <v>827</v>
      </c>
      <c r="AR4" s="374" t="s">
        <v>824</v>
      </c>
      <c r="AS4"/>
      <c r="AT4" s="471" t="s">
        <v>1318</v>
      </c>
      <c r="AU4" s="472">
        <v>640614</v>
      </c>
      <c r="AV4" s="472">
        <v>652625</v>
      </c>
      <c r="AW4" s="472">
        <v>657733</v>
      </c>
      <c r="AX4" s="472">
        <v>657720</v>
      </c>
      <c r="AY4" s="472">
        <v>637298</v>
      </c>
      <c r="AZ4" s="472">
        <v>656103</v>
      </c>
      <c r="BA4" s="472">
        <v>671942</v>
      </c>
      <c r="BB4" s="472">
        <v>680792</v>
      </c>
      <c r="BC4" s="472">
        <v>690275</v>
      </c>
      <c r="BD4" s="472">
        <v>707589</v>
      </c>
      <c r="BE4" s="472">
        <v>724946</v>
      </c>
      <c r="BF4" s="472">
        <v>740164</v>
      </c>
      <c r="BG4" s="472">
        <v>761818</v>
      </c>
      <c r="BH4" s="472">
        <v>778518</v>
      </c>
      <c r="BI4" s="472">
        <v>791885</v>
      </c>
      <c r="BJ4" s="472">
        <v>743502</v>
      </c>
      <c r="BK4" s="472">
        <v>775835</v>
      </c>
      <c r="BL4" s="472">
        <v>849221</v>
      </c>
      <c r="BM4" s="472">
        <v>935937</v>
      </c>
      <c r="BN4" s="472">
        <v>1025883</v>
      </c>
      <c r="BO4" s="472">
        <v>1111428</v>
      </c>
      <c r="BP4" s="472">
        <v>1207441</v>
      </c>
      <c r="BQ4" s="473">
        <v>1305276</v>
      </c>
    </row>
    <row r="5" spans="1:69" ht="45.75" thickBot="1" x14ac:dyDescent="0.3">
      <c r="A5" s="3" t="s">
        <v>4494</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8" t="s">
        <v>26</v>
      </c>
      <c r="AD5" s="449" t="s">
        <v>264</v>
      </c>
      <c r="AE5" s="449" t="s">
        <v>2841</v>
      </c>
      <c r="AF5" s="450" t="s">
        <v>657</v>
      </c>
      <c r="AG5" s="450" t="s">
        <v>658</v>
      </c>
      <c r="AH5" s="451" t="s">
        <v>663</v>
      </c>
      <c r="AI5" s="451" t="s">
        <v>828</v>
      </c>
      <c r="AJ5" s="451" t="s">
        <v>828</v>
      </c>
      <c r="AK5" s="451" t="s">
        <v>828</v>
      </c>
      <c r="AL5" s="451" t="s">
        <v>753</v>
      </c>
      <c r="AM5" s="177" t="s">
        <v>671</v>
      </c>
      <c r="AN5" s="65"/>
      <c r="AO5" s="452" t="s">
        <v>788</v>
      </c>
      <c r="AP5" s="169" t="s">
        <v>789</v>
      </c>
      <c r="AQ5" s="453" t="s">
        <v>790</v>
      </c>
      <c r="AR5" s="454" t="s">
        <v>791</v>
      </c>
      <c r="AS5"/>
      <c r="AT5" s="471" t="s">
        <v>1319</v>
      </c>
      <c r="AU5" s="474">
        <v>12528.7</v>
      </c>
      <c r="AV5" s="474">
        <v>12661.9</v>
      </c>
      <c r="AW5" s="474">
        <v>12764.8</v>
      </c>
      <c r="AX5" s="474">
        <v>12883.6</v>
      </c>
      <c r="AY5" s="474">
        <v>12998.3</v>
      </c>
      <c r="AZ5" s="474">
        <v>13135.8</v>
      </c>
      <c r="BA5" s="474">
        <v>13261.4</v>
      </c>
      <c r="BB5" s="474">
        <v>13390.6</v>
      </c>
      <c r="BC5" s="474">
        <v>13510.8</v>
      </c>
      <c r="BD5" s="474">
        <v>13617.6</v>
      </c>
      <c r="BE5" s="474">
        <v>13707.1</v>
      </c>
      <c r="BF5" s="474">
        <v>13875.4</v>
      </c>
      <c r="BG5" s="474">
        <v>14072.6</v>
      </c>
      <c r="BH5" s="474">
        <v>14318.5</v>
      </c>
      <c r="BI5" s="474">
        <v>14566.5</v>
      </c>
      <c r="BJ5" s="474">
        <v>14786.4</v>
      </c>
      <c r="BK5" s="474">
        <v>15004.3</v>
      </c>
      <c r="BL5" s="474">
        <v>15717.9</v>
      </c>
      <c r="BM5" s="474">
        <v>16525.900000000001</v>
      </c>
      <c r="BN5" s="474">
        <v>17258</v>
      </c>
      <c r="BO5" s="474">
        <v>17889.5</v>
      </c>
      <c r="BP5" s="474">
        <v>18463.2</v>
      </c>
      <c r="BQ5" s="475">
        <v>19004.2</v>
      </c>
    </row>
    <row r="6" spans="1:69" ht="30" x14ac:dyDescent="0.25">
      <c r="A6" s="3" t="s">
        <v>4495</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8" t="s">
        <v>27</v>
      </c>
      <c r="AD6" s="449" t="s">
        <v>265</v>
      </c>
      <c r="AE6" s="449" t="s">
        <v>2842</v>
      </c>
      <c r="AF6" s="450" t="s">
        <v>657</v>
      </c>
      <c r="AG6" s="450" t="s">
        <v>658</v>
      </c>
      <c r="AH6" s="451" t="s">
        <v>663</v>
      </c>
      <c r="AI6" s="451" t="s">
        <v>828</v>
      </c>
      <c r="AJ6" s="451" t="s">
        <v>828</v>
      </c>
      <c r="AK6" s="451" t="s">
        <v>828</v>
      </c>
      <c r="AL6" s="451" t="s">
        <v>753</v>
      </c>
      <c r="AM6" s="65"/>
      <c r="AN6" s="445"/>
      <c r="AO6" s="452" t="s">
        <v>785</v>
      </c>
      <c r="AP6" s="453" t="s">
        <v>792</v>
      </c>
      <c r="AQ6" s="453" t="s">
        <v>794</v>
      </c>
      <c r="AR6" s="455" t="s">
        <v>794</v>
      </c>
      <c r="AS6"/>
      <c r="AT6" s="471"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6">
        <v>2.1800000000000002</v>
      </c>
    </row>
    <row r="7" spans="1:69" ht="45" x14ac:dyDescent="0.25">
      <c r="A7" s="3" t="s">
        <v>4496</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8" t="s">
        <v>28</v>
      </c>
      <c r="AD7" s="449" t="s">
        <v>724</v>
      </c>
      <c r="AE7" s="449" t="s">
        <v>2845</v>
      </c>
      <c r="AF7" s="450" t="s">
        <v>692</v>
      </c>
      <c r="AG7" s="450" t="s">
        <v>658</v>
      </c>
      <c r="AH7" s="451" t="s">
        <v>663</v>
      </c>
      <c r="AI7" s="451" t="s">
        <v>828</v>
      </c>
      <c r="AJ7" s="451" t="s">
        <v>828</v>
      </c>
      <c r="AK7" s="451" t="s">
        <v>828</v>
      </c>
      <c r="AL7" s="451" t="s">
        <v>753</v>
      </c>
      <c r="AM7" s="445"/>
      <c r="AN7" s="445"/>
      <c r="AO7" s="452" t="s">
        <v>796</v>
      </c>
      <c r="AP7" s="453" t="s">
        <v>806</v>
      </c>
      <c r="AQ7" s="453" t="s">
        <v>805</v>
      </c>
      <c r="AR7" s="455" t="s">
        <v>807</v>
      </c>
      <c r="AS7"/>
      <c r="AT7" s="471"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6">
        <v>2.61</v>
      </c>
    </row>
    <row r="8" spans="1:69" ht="30" x14ac:dyDescent="0.25">
      <c r="A8" s="3" t="s">
        <v>4497</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8" t="s">
        <v>29</v>
      </c>
      <c r="AD8" s="449" t="s">
        <v>266</v>
      </c>
      <c r="AE8" s="449" t="s">
        <v>2844</v>
      </c>
      <c r="AF8" s="450" t="s">
        <v>658</v>
      </c>
      <c r="AG8" s="450" t="s">
        <v>658</v>
      </c>
      <c r="AH8" s="451" t="s">
        <v>753</v>
      </c>
      <c r="AI8" s="451" t="s">
        <v>828</v>
      </c>
      <c r="AJ8" s="451" t="s">
        <v>828</v>
      </c>
      <c r="AK8" s="451" t="s">
        <v>828</v>
      </c>
      <c r="AL8" s="451" t="s">
        <v>753</v>
      </c>
      <c r="AM8" s="445"/>
      <c r="AN8" s="445"/>
      <c r="AO8" s="452" t="s">
        <v>804</v>
      </c>
      <c r="AP8" s="453" t="s">
        <v>808</v>
      </c>
      <c r="AQ8" s="453" t="s">
        <v>808</v>
      </c>
      <c r="AR8" s="456" t="s">
        <v>809</v>
      </c>
      <c r="AS8"/>
      <c r="AT8" s="468" t="s">
        <v>1325</v>
      </c>
      <c r="AU8"/>
      <c r="AV8"/>
      <c r="AW8" s="445"/>
      <c r="AX8" s="445"/>
      <c r="AY8" s="445"/>
      <c r="AZ8" s="445"/>
      <c r="BA8" s="445"/>
      <c r="BB8" s="445"/>
      <c r="BC8" s="445"/>
      <c r="BD8" s="445"/>
      <c r="BE8" s="445"/>
      <c r="BF8" s="445"/>
      <c r="BG8" s="445"/>
      <c r="BH8" s="445"/>
      <c r="BI8" s="445"/>
      <c r="BJ8" s="445"/>
      <c r="BK8" s="445"/>
      <c r="BL8" s="445"/>
      <c r="BM8" s="445"/>
      <c r="BN8" s="445"/>
      <c r="BO8" s="445"/>
      <c r="BP8" s="445"/>
      <c r="BQ8" s="459"/>
    </row>
    <row r="9" spans="1:69" ht="15.75" thickBot="1" x14ac:dyDescent="0.3">
      <c r="A9" s="3" t="s">
        <v>4498</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8" t="s">
        <v>42</v>
      </c>
      <c r="AD9" s="449" t="s">
        <v>267</v>
      </c>
      <c r="AE9" s="162" t="s">
        <v>650</v>
      </c>
      <c r="AF9" s="450" t="s">
        <v>658</v>
      </c>
      <c r="AG9" s="450" t="s">
        <v>658</v>
      </c>
      <c r="AH9" s="451" t="s">
        <v>664</v>
      </c>
      <c r="AI9" s="376" t="s">
        <v>658</v>
      </c>
      <c r="AJ9" s="451" t="s">
        <v>664</v>
      </c>
      <c r="AK9" s="451" t="s">
        <v>664</v>
      </c>
      <c r="AL9" s="451" t="s">
        <v>753</v>
      </c>
      <c r="AM9" s="445"/>
      <c r="AN9" s="445"/>
      <c r="AO9" s="452" t="s">
        <v>797</v>
      </c>
      <c r="AP9" s="169" t="s">
        <v>798</v>
      </c>
      <c r="AQ9" s="169" t="s">
        <v>803</v>
      </c>
      <c r="AR9" s="456" t="s">
        <v>799</v>
      </c>
      <c r="AS9"/>
      <c r="AT9" s="469"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7"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8" t="s">
        <v>47</v>
      </c>
      <c r="AD10" s="449" t="s">
        <v>268</v>
      </c>
      <c r="AE10" s="449" t="s">
        <v>2843</v>
      </c>
      <c r="AF10" s="450" t="s">
        <v>659</v>
      </c>
      <c r="AG10" s="450" t="s">
        <v>658</v>
      </c>
      <c r="AH10" s="450" t="s">
        <v>665</v>
      </c>
      <c r="AI10" s="451" t="s">
        <v>828</v>
      </c>
      <c r="AJ10" s="451" t="s">
        <v>828</v>
      </c>
      <c r="AK10" s="451" t="s">
        <v>828</v>
      </c>
      <c r="AL10" s="451" t="s">
        <v>754</v>
      </c>
      <c r="AM10" s="445"/>
      <c r="AN10" s="445"/>
      <c r="AO10" s="452" t="s">
        <v>800</v>
      </c>
      <c r="AP10" s="169" t="s">
        <v>801</v>
      </c>
      <c r="AQ10" s="169" t="s">
        <v>802</v>
      </c>
      <c r="AR10" s="456" t="s">
        <v>810</v>
      </c>
      <c r="AS10"/>
      <c r="AT10" s="471" t="s">
        <v>1318</v>
      </c>
      <c r="AU10" s="472">
        <v>640614</v>
      </c>
      <c r="AV10" s="472">
        <v>652625</v>
      </c>
      <c r="AW10" s="472">
        <v>657733</v>
      </c>
      <c r="AX10" s="472">
        <v>657720</v>
      </c>
      <c r="AY10" s="472">
        <v>637298</v>
      </c>
      <c r="AZ10" s="472">
        <v>656103</v>
      </c>
      <c r="BA10" s="472">
        <v>671942</v>
      </c>
      <c r="BB10" s="472">
        <v>680792</v>
      </c>
      <c r="BC10" s="472">
        <v>690275</v>
      </c>
      <c r="BD10" s="472">
        <v>707589</v>
      </c>
      <c r="BE10" s="472">
        <v>724946</v>
      </c>
      <c r="BF10" s="472">
        <v>740164</v>
      </c>
      <c r="BG10" s="472">
        <v>761818</v>
      </c>
      <c r="BH10" s="472">
        <v>778518</v>
      </c>
      <c r="BI10" s="472">
        <v>791885</v>
      </c>
      <c r="BJ10" s="472">
        <v>743506</v>
      </c>
      <c r="BK10" s="472">
        <v>775752</v>
      </c>
      <c r="BL10" s="472">
        <v>854474</v>
      </c>
      <c r="BM10" s="472">
        <v>935851</v>
      </c>
      <c r="BN10" s="472">
        <v>1005916</v>
      </c>
      <c r="BO10" s="472">
        <v>1088042</v>
      </c>
      <c r="BP10" s="472">
        <v>1176169</v>
      </c>
      <c r="BQ10" s="473">
        <v>1263216</v>
      </c>
    </row>
    <row r="11" spans="1:69" ht="120" x14ac:dyDescent="0.25">
      <c r="A11" s="3" t="s">
        <v>4499</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8" t="s">
        <v>48</v>
      </c>
      <c r="AD11" s="449" t="s">
        <v>270</v>
      </c>
      <c r="AE11" s="449" t="s">
        <v>2843</v>
      </c>
      <c r="AF11" s="450" t="s">
        <v>659</v>
      </c>
      <c r="AG11" s="450" t="s">
        <v>658</v>
      </c>
      <c r="AH11" s="450" t="s">
        <v>665</v>
      </c>
      <c r="AI11" s="451" t="s">
        <v>828</v>
      </c>
      <c r="AJ11" s="451" t="s">
        <v>828</v>
      </c>
      <c r="AK11" s="451" t="s">
        <v>828</v>
      </c>
      <c r="AL11" s="451" t="s">
        <v>753</v>
      </c>
      <c r="AM11" s="445"/>
      <c r="AN11" s="445"/>
      <c r="AO11" s="452" t="s">
        <v>795</v>
      </c>
      <c r="AP11" s="453" t="s">
        <v>811</v>
      </c>
      <c r="AQ11" s="453" t="s">
        <v>812</v>
      </c>
      <c r="AR11" s="455" t="s">
        <v>812</v>
      </c>
      <c r="AS11"/>
      <c r="AT11" s="471" t="s">
        <v>1319</v>
      </c>
      <c r="AU11" s="474">
        <v>12528.7</v>
      </c>
      <c r="AV11" s="474">
        <v>12661.9</v>
      </c>
      <c r="AW11" s="474">
        <v>12764.8</v>
      </c>
      <c r="AX11" s="474">
        <v>12883.6</v>
      </c>
      <c r="AY11" s="474">
        <v>12998.3</v>
      </c>
      <c r="AZ11" s="474">
        <v>13135.8</v>
      </c>
      <c r="BA11" s="474">
        <v>13261.4</v>
      </c>
      <c r="BB11" s="474">
        <v>13390.6</v>
      </c>
      <c r="BC11" s="474">
        <v>13510.8</v>
      </c>
      <c r="BD11" s="474">
        <v>13617.6</v>
      </c>
      <c r="BE11" s="474">
        <v>13707.1</v>
      </c>
      <c r="BF11" s="474">
        <v>13875.4</v>
      </c>
      <c r="BG11" s="474">
        <v>14072.6</v>
      </c>
      <c r="BH11" s="474">
        <v>14318.5</v>
      </c>
      <c r="BI11" s="474">
        <v>14566.5</v>
      </c>
      <c r="BJ11" s="474">
        <v>14785.4</v>
      </c>
      <c r="BK11" s="474">
        <v>15005.4</v>
      </c>
      <c r="BL11" s="474">
        <v>15757.9</v>
      </c>
      <c r="BM11" s="474">
        <v>16598.900000000001</v>
      </c>
      <c r="BN11" s="474">
        <v>17277.8</v>
      </c>
      <c r="BO11" s="474">
        <v>17883.599999999999</v>
      </c>
      <c r="BP11" s="474">
        <v>18429.7</v>
      </c>
      <c r="BQ11" s="475">
        <v>18919.3</v>
      </c>
    </row>
    <row r="12" spans="1:69" ht="45" x14ac:dyDescent="0.25">
      <c r="A12" s="3" t="s">
        <v>4500</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8" t="s">
        <v>49</v>
      </c>
      <c r="AD12" s="162" t="s">
        <v>655</v>
      </c>
      <c r="AE12" s="449" t="s">
        <v>275</v>
      </c>
      <c r="AF12" s="450" t="s">
        <v>659</v>
      </c>
      <c r="AG12" s="450" t="s">
        <v>658</v>
      </c>
      <c r="AH12" s="450" t="s">
        <v>665</v>
      </c>
      <c r="AI12" s="451" t="s">
        <v>828</v>
      </c>
      <c r="AJ12" s="451" t="s">
        <v>828</v>
      </c>
      <c r="AK12" s="451" t="s">
        <v>828</v>
      </c>
      <c r="AL12" s="451" t="s">
        <v>753</v>
      </c>
      <c r="AM12" s="445"/>
      <c r="AN12" s="445"/>
      <c r="AO12" s="457" t="s">
        <v>831</v>
      </c>
      <c r="AP12" s="453" t="s">
        <v>819</v>
      </c>
      <c r="AQ12" s="453" t="s">
        <v>818</v>
      </c>
      <c r="AR12" s="374" t="s">
        <v>817</v>
      </c>
      <c r="AS12"/>
      <c r="AT12" s="471"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6">
        <v>2.14</v>
      </c>
    </row>
    <row r="13" spans="1:69" ht="60" x14ac:dyDescent="0.25">
      <c r="A13" s="3" t="s">
        <v>4501</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8" t="s">
        <v>79</v>
      </c>
      <c r="AD13" s="449" t="s">
        <v>273</v>
      </c>
      <c r="AE13" s="162" t="s">
        <v>2840</v>
      </c>
      <c r="AF13" s="376" t="s">
        <v>660</v>
      </c>
      <c r="AG13" s="376" t="s">
        <v>658</v>
      </c>
      <c r="AH13" s="451" t="s">
        <v>666</v>
      </c>
      <c r="AI13" s="451" t="s">
        <v>754</v>
      </c>
      <c r="AJ13" s="451" t="s">
        <v>667</v>
      </c>
      <c r="AK13" s="451" t="s">
        <v>667</v>
      </c>
      <c r="AL13" s="451" t="s">
        <v>754</v>
      </c>
      <c r="AM13" s="445"/>
      <c r="AN13" s="445"/>
      <c r="AO13" s="452" t="s">
        <v>813</v>
      </c>
      <c r="AP13" s="453" t="s">
        <v>814</v>
      </c>
      <c r="AQ13" s="453" t="s">
        <v>816</v>
      </c>
      <c r="AR13" s="374" t="s">
        <v>820</v>
      </c>
      <c r="AS13"/>
      <c r="AT13" s="471"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6">
        <v>2.6</v>
      </c>
    </row>
    <row r="14" spans="1:69" ht="75" x14ac:dyDescent="0.25">
      <c r="A14" s="3" t="s">
        <v>4502</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8" t="s">
        <v>80</v>
      </c>
      <c r="AD14" s="449"/>
      <c r="AE14" s="162" t="s">
        <v>2840</v>
      </c>
      <c r="AF14" s="376" t="s">
        <v>660</v>
      </c>
      <c r="AG14" s="376" t="s">
        <v>658</v>
      </c>
      <c r="AH14" s="451" t="s">
        <v>666</v>
      </c>
      <c r="AI14" s="451" t="s">
        <v>754</v>
      </c>
      <c r="AJ14" s="451" t="s">
        <v>667</v>
      </c>
      <c r="AK14" s="451" t="s">
        <v>667</v>
      </c>
      <c r="AL14" s="451" t="s">
        <v>754</v>
      </c>
      <c r="AM14" s="445"/>
      <c r="AN14" s="445"/>
      <c r="AO14" s="452" t="s">
        <v>832</v>
      </c>
      <c r="AP14" s="453" t="s">
        <v>815</v>
      </c>
      <c r="AQ14" s="453" t="s">
        <v>822</v>
      </c>
      <c r="AR14" s="455" t="s">
        <v>822</v>
      </c>
      <c r="AS14"/>
      <c r="AT14" s="468" t="s">
        <v>2850</v>
      </c>
      <c r="AU14"/>
      <c r="AV14"/>
      <c r="AW14" s="445"/>
      <c r="AX14" s="445"/>
      <c r="AY14" s="445"/>
      <c r="AZ14" s="445"/>
      <c r="BA14" s="445"/>
      <c r="BB14" s="445"/>
      <c r="BC14" s="445"/>
      <c r="BD14" s="445"/>
      <c r="BE14" s="445"/>
      <c r="BF14" s="445"/>
      <c r="BG14" s="445"/>
      <c r="BH14" s="445"/>
      <c r="BI14" s="445"/>
      <c r="BJ14" s="445"/>
      <c r="BK14" s="445"/>
      <c r="BL14" s="445"/>
      <c r="BM14" s="445"/>
      <c r="BN14" s="445"/>
      <c r="BO14" s="445"/>
      <c r="BP14" s="445"/>
      <c r="BQ14" s="459"/>
    </row>
    <row r="15" spans="1:69" ht="90.75" thickBot="1" x14ac:dyDescent="0.3">
      <c r="A15" s="3" t="s">
        <v>4503</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8" t="s">
        <v>65</v>
      </c>
      <c r="AD15" s="449" t="s">
        <v>2839</v>
      </c>
      <c r="AE15" s="162" t="s">
        <v>651</v>
      </c>
      <c r="AF15" s="376" t="s">
        <v>661</v>
      </c>
      <c r="AG15" s="376" t="s">
        <v>658</v>
      </c>
      <c r="AH15" s="451" t="s">
        <v>667</v>
      </c>
      <c r="AI15" s="451" t="s">
        <v>754</v>
      </c>
      <c r="AJ15" s="451" t="s">
        <v>667</v>
      </c>
      <c r="AK15" s="451" t="s">
        <v>667</v>
      </c>
      <c r="AL15" s="451" t="s">
        <v>754</v>
      </c>
      <c r="AM15" s="445"/>
      <c r="AN15" s="445"/>
      <c r="AO15" s="452" t="s">
        <v>826</v>
      </c>
      <c r="AP15" s="453" t="s">
        <v>821</v>
      </c>
      <c r="AQ15" s="458" t="s">
        <v>830</v>
      </c>
      <c r="AR15" s="374" t="s">
        <v>829</v>
      </c>
      <c r="AS15"/>
      <c r="AT15" s="469"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7" t="s">
        <v>1317</v>
      </c>
    </row>
    <row r="16" spans="1:69" ht="30.75" thickTop="1" x14ac:dyDescent="0.25">
      <c r="A16" s="3" t="s">
        <v>4504</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8" t="s">
        <v>66</v>
      </c>
      <c r="AD16" s="449"/>
      <c r="AE16" s="162" t="s">
        <v>2847</v>
      </c>
      <c r="AF16" s="376" t="s">
        <v>661</v>
      </c>
      <c r="AG16" s="376" t="s">
        <v>658</v>
      </c>
      <c r="AH16" s="451" t="s">
        <v>667</v>
      </c>
      <c r="AI16" s="451" t="s">
        <v>754</v>
      </c>
      <c r="AJ16" s="451" t="s">
        <v>667</v>
      </c>
      <c r="AK16" s="451" t="s">
        <v>667</v>
      </c>
      <c r="AL16" s="451" t="s">
        <v>754</v>
      </c>
      <c r="AM16" s="445"/>
      <c r="AN16" s="445"/>
      <c r="AO16" s="445"/>
      <c r="AP16" s="445"/>
      <c r="AQ16" s="445"/>
      <c r="AR16" s="459"/>
      <c r="AS16"/>
      <c r="AT16" s="64" t="s">
        <v>1318</v>
      </c>
      <c r="AU16" s="472">
        <v>1643973</v>
      </c>
      <c r="AV16" s="472">
        <v>1687280</v>
      </c>
      <c r="AW16" s="472">
        <v>1722238</v>
      </c>
      <c r="AX16" s="472">
        <v>1739534</v>
      </c>
      <c r="AY16" s="472">
        <v>1688636</v>
      </c>
      <c r="AZ16" s="472">
        <v>1740814</v>
      </c>
      <c r="BA16" s="472">
        <v>1795582</v>
      </c>
      <c r="BB16" s="472">
        <v>1827201</v>
      </c>
      <c r="BC16" s="472">
        <v>1869759</v>
      </c>
      <c r="BD16" s="472">
        <v>1923422</v>
      </c>
      <c r="BE16" s="472">
        <v>1936100</v>
      </c>
      <c r="BF16" s="472">
        <v>1955488</v>
      </c>
      <c r="BG16" s="472">
        <v>2017492</v>
      </c>
      <c r="BH16" s="472">
        <v>2058116</v>
      </c>
      <c r="BI16" s="472">
        <v>2091793</v>
      </c>
      <c r="BJ16" s="472">
        <v>1967255</v>
      </c>
      <c r="BK16" s="472">
        <v>2053704</v>
      </c>
      <c r="BL16" s="472">
        <v>2241548</v>
      </c>
      <c r="BM16" s="472">
        <v>2455391</v>
      </c>
      <c r="BN16" s="472">
        <v>2638464</v>
      </c>
      <c r="BO16" s="472">
        <v>2824928</v>
      </c>
      <c r="BP16" s="472">
        <v>3028848</v>
      </c>
      <c r="BQ16" s="473">
        <v>3229641</v>
      </c>
    </row>
    <row r="17" spans="1:69" ht="30" x14ac:dyDescent="0.25">
      <c r="A17" s="3" t="s">
        <v>4505</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8" t="s">
        <v>129</v>
      </c>
      <c r="AD17" s="449" t="s">
        <v>274</v>
      </c>
      <c r="AE17" s="162" t="s">
        <v>2848</v>
      </c>
      <c r="AF17" s="376" t="s">
        <v>662</v>
      </c>
      <c r="AG17" s="376" t="s">
        <v>658</v>
      </c>
      <c r="AH17" s="451" t="s">
        <v>667</v>
      </c>
      <c r="AI17" s="376" t="s">
        <v>755</v>
      </c>
      <c r="AJ17" s="451" t="s">
        <v>756</v>
      </c>
      <c r="AK17" s="451" t="s">
        <v>756</v>
      </c>
      <c r="AL17" s="451" t="s">
        <v>754</v>
      </c>
      <c r="AM17" s="445"/>
      <c r="AN17" s="445"/>
      <c r="AO17" s="445"/>
      <c r="AP17" s="445"/>
      <c r="AQ17" s="445"/>
      <c r="AR17" s="459"/>
      <c r="AS17"/>
      <c r="AT17" s="64" t="s">
        <v>1319</v>
      </c>
      <c r="AU17" s="474">
        <v>32243.8</v>
      </c>
      <c r="AV17" s="474">
        <v>32571.200000000001</v>
      </c>
      <c r="AW17" s="474">
        <v>32889</v>
      </c>
      <c r="AX17" s="474">
        <v>33247.1</v>
      </c>
      <c r="AY17" s="474">
        <v>33628.9</v>
      </c>
      <c r="AZ17" s="474">
        <v>34004.9</v>
      </c>
      <c r="BA17" s="474">
        <v>34339.300000000003</v>
      </c>
      <c r="BB17" s="474">
        <v>34714.199999999997</v>
      </c>
      <c r="BC17" s="474">
        <v>35083</v>
      </c>
      <c r="BD17" s="474">
        <v>35437.4</v>
      </c>
      <c r="BE17" s="474">
        <v>35702.9</v>
      </c>
      <c r="BF17" s="474">
        <v>36109.5</v>
      </c>
      <c r="BG17" s="474">
        <v>36543.300000000003</v>
      </c>
      <c r="BH17" s="474">
        <v>37057.800000000003</v>
      </c>
      <c r="BI17" s="474">
        <v>37589.300000000003</v>
      </c>
      <c r="BJ17" s="474">
        <v>38035.800000000003</v>
      </c>
      <c r="BK17" s="474">
        <v>38477.5</v>
      </c>
      <c r="BL17" s="474">
        <v>40083.699999999997</v>
      </c>
      <c r="BM17" s="474">
        <v>42057</v>
      </c>
      <c r="BN17" s="474">
        <v>43805.4</v>
      </c>
      <c r="BO17" s="474">
        <v>45264.6</v>
      </c>
      <c r="BP17" s="474">
        <v>46643.1</v>
      </c>
      <c r="BQ17" s="475">
        <v>47985.3</v>
      </c>
    </row>
    <row r="18" spans="1:69" ht="30.75" thickBot="1" x14ac:dyDescent="0.3">
      <c r="A18" s="3" t="s">
        <v>4506</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0" t="s">
        <v>271</v>
      </c>
      <c r="AD18" s="461" t="s">
        <v>272</v>
      </c>
      <c r="AE18" s="462" t="s">
        <v>751</v>
      </c>
      <c r="AF18" s="463" t="s">
        <v>658</v>
      </c>
      <c r="AG18" s="463" t="s">
        <v>658</v>
      </c>
      <c r="AH18" s="464"/>
      <c r="AI18" s="464"/>
      <c r="AJ18" s="464"/>
      <c r="AK18" s="464"/>
      <c r="AL18" s="68"/>
      <c r="AM18" s="465"/>
      <c r="AN18" s="465"/>
      <c r="AO18" s="465"/>
      <c r="AP18" s="466"/>
      <c r="AQ18" s="466"/>
      <c r="AR18" s="467"/>
      <c r="AS18"/>
      <c r="AT18" s="487"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6">
        <v>1.99</v>
      </c>
    </row>
    <row r="19" spans="1:69" x14ac:dyDescent="0.25">
      <c r="A19" s="3" t="s">
        <v>4507</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7"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6">
        <v>2.4700000000000002</v>
      </c>
    </row>
    <row r="20" spans="1:69" ht="15.75" thickBot="1" x14ac:dyDescent="0.3">
      <c r="B20" s="179" t="s">
        <v>97</v>
      </c>
      <c r="C20" s="884">
        <v>292.947</v>
      </c>
      <c r="D20" s="884">
        <v>399.82900000000001</v>
      </c>
      <c r="E20" s="884">
        <v>465.27600000000001</v>
      </c>
      <c r="F20" s="884">
        <v>486.95</v>
      </c>
      <c r="G20" s="884">
        <v>502.76</v>
      </c>
      <c r="H20" s="884">
        <v>523.37300000000005</v>
      </c>
      <c r="I20" s="884">
        <v>544.63</v>
      </c>
      <c r="J20" s="884">
        <v>562.13800000000003</v>
      </c>
      <c r="K20" s="884">
        <v>588.99300000000005</v>
      </c>
      <c r="L20" s="884">
        <v>610.51</v>
      </c>
      <c r="M20" s="884">
        <v>627.61099999999999</v>
      </c>
      <c r="N20" s="884">
        <v>644.87800000000004</v>
      </c>
      <c r="O20" s="884">
        <v>651.90099999999995</v>
      </c>
      <c r="P20" s="884">
        <v>673.28700000000003</v>
      </c>
      <c r="Q20" s="884">
        <v>695.33900000000006</v>
      </c>
      <c r="R20" s="884">
        <v>714.57899999999995</v>
      </c>
      <c r="S20" s="884">
        <v>729.43</v>
      </c>
      <c r="T20" s="884">
        <v>754.58500000000004</v>
      </c>
      <c r="U20" s="884">
        <v>774.92499999999995</v>
      </c>
      <c r="V20" s="884">
        <v>795.89</v>
      </c>
      <c r="W20" s="884"/>
      <c r="AC20"/>
      <c r="AD20"/>
      <c r="AE20"/>
      <c r="AF20"/>
      <c r="AG20"/>
      <c r="AH20"/>
      <c r="AI20"/>
      <c r="AJ20"/>
      <c r="AK20"/>
      <c r="AL20"/>
      <c r="AM20" s="3"/>
      <c r="AN20" s="3"/>
      <c r="AT20" s="762" t="s">
        <v>2849</v>
      </c>
      <c r="AU20" s="462">
        <v>1.21</v>
      </c>
      <c r="AV20" s="462">
        <v>1.1299999999999999</v>
      </c>
      <c r="AW20" s="462">
        <v>1.07</v>
      </c>
      <c r="AX20" s="462">
        <v>1.07</v>
      </c>
      <c r="AY20" s="462">
        <v>1.1399999999999999</v>
      </c>
      <c r="AZ20" s="462">
        <v>1.03</v>
      </c>
      <c r="BA20" s="462">
        <v>0.99</v>
      </c>
      <c r="BB20" s="462">
        <v>1</v>
      </c>
      <c r="BC20" s="462">
        <v>1.03</v>
      </c>
      <c r="BD20" s="462">
        <v>1.1100000000000001</v>
      </c>
      <c r="BE20" s="462">
        <v>1.28</v>
      </c>
      <c r="BF20" s="462">
        <v>1.33</v>
      </c>
      <c r="BG20" s="462">
        <v>1.3</v>
      </c>
      <c r="BH20" s="462">
        <v>1.3</v>
      </c>
      <c r="BI20" s="462">
        <v>1.33</v>
      </c>
      <c r="BJ20" s="462">
        <v>1.38</v>
      </c>
      <c r="BK20" s="462">
        <v>1.35</v>
      </c>
      <c r="BL20" s="462">
        <v>1.32</v>
      </c>
      <c r="BM20" s="462">
        <v>1.3</v>
      </c>
      <c r="BN20" s="462">
        <v>1.28</v>
      </c>
      <c r="BO20" s="462">
        <v>1.28</v>
      </c>
      <c r="BP20" s="462">
        <v>1.28</v>
      </c>
      <c r="BQ20" s="478">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4510</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36" t="s">
        <v>2158</v>
      </c>
      <c r="AD22" s="1137"/>
      <c r="AE22" s="1137"/>
      <c r="AF22" s="1137"/>
      <c r="AG22" s="1137"/>
      <c r="AH22" s="1137"/>
      <c r="AI22" s="1137"/>
      <c r="AJ22" s="1137"/>
      <c r="AK22" s="1137"/>
      <c r="AL22" s="1137"/>
      <c r="AM22" s="1137"/>
      <c r="AN22" s="1137"/>
      <c r="AO22" s="1137"/>
      <c r="AP22" s="1137"/>
      <c r="AQ22" s="1137"/>
      <c r="AR22" s="1137"/>
      <c r="AS22" s="1137"/>
      <c r="AT22" s="1137"/>
      <c r="AU22" s="1137"/>
      <c r="AV22" s="1137"/>
      <c r="AW22" s="1137"/>
      <c r="AX22" s="1138"/>
      <c r="BA22" s="1136" t="s">
        <v>2159</v>
      </c>
      <c r="BB22" s="1137"/>
      <c r="BC22" s="1137"/>
      <c r="BD22" s="1137"/>
      <c r="BE22" s="1137"/>
      <c r="BF22" s="1137"/>
      <c r="BG22" s="1137"/>
      <c r="BH22" s="1137"/>
      <c r="BI22" s="1137"/>
      <c r="BJ22" s="1137"/>
      <c r="BK22" s="1137"/>
      <c r="BL22" s="1138"/>
    </row>
    <row r="23" spans="1:69" ht="16.5" thickBot="1" x14ac:dyDescent="0.3">
      <c r="A23" s="3" t="s">
        <v>4511</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2" t="s">
        <v>691</v>
      </c>
      <c r="AD23" s="373"/>
      <c r="AE23" s="373"/>
      <c r="AF23" s="373"/>
      <c r="AG23" s="445"/>
      <c r="AH23" s="445"/>
      <c r="AI23" s="65"/>
      <c r="AJ23" s="159" t="s">
        <v>1933</v>
      </c>
      <c r="AK23" s="28"/>
      <c r="AL23" s="28"/>
      <c r="AM23" s="28"/>
      <c r="AN23" s="28"/>
      <c r="AO23" s="445"/>
      <c r="AP23" s="445"/>
      <c r="AQ23" s="184" t="s">
        <v>720</v>
      </c>
      <c r="AR23" s="184"/>
      <c r="AS23" s="184"/>
      <c r="AT23" s="184"/>
      <c r="AU23" s="184"/>
      <c r="AV23" s="184"/>
      <c r="AW23" s="445"/>
      <c r="AX23" s="459"/>
      <c r="BA23" s="545" t="s">
        <v>778</v>
      </c>
      <c r="BB23" s="183"/>
      <c r="BC23" s="183"/>
      <c r="BD23" s="445"/>
      <c r="BE23" s="445"/>
      <c r="BF23" s="445"/>
      <c r="BG23" s="445"/>
      <c r="BH23" s="445"/>
      <c r="BI23" s="445"/>
      <c r="BJ23" s="445"/>
      <c r="BK23" s="445"/>
      <c r="BL23" s="459"/>
    </row>
    <row r="24" spans="1:69" ht="15.75" thickBot="1" x14ac:dyDescent="0.3">
      <c r="A24" s="3" t="s">
        <v>4512</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3" t="s">
        <v>119</v>
      </c>
      <c r="AD24" s="11">
        <v>2016</v>
      </c>
      <c r="AE24" s="11">
        <v>2018</v>
      </c>
      <c r="AF24" s="11">
        <v>2020</v>
      </c>
      <c r="AG24" s="81" t="s">
        <v>427</v>
      </c>
      <c r="AH24" s="97" t="s">
        <v>404</v>
      </c>
      <c r="AI24" s="65"/>
      <c r="AJ24" s="88" t="s">
        <v>1326</v>
      </c>
      <c r="AK24" s="88" t="s">
        <v>1940</v>
      </c>
      <c r="AL24" s="88" t="s">
        <v>1941</v>
      </c>
      <c r="AM24" s="88" t="s">
        <v>1936</v>
      </c>
      <c r="AN24" s="88" t="s">
        <v>1937</v>
      </c>
      <c r="AO24" s="445"/>
      <c r="AP24" s="445"/>
      <c r="AQ24" s="21" t="s">
        <v>246</v>
      </c>
      <c r="AR24" s="11">
        <v>2017</v>
      </c>
      <c r="AS24" s="11">
        <v>2018</v>
      </c>
      <c r="AT24" s="11">
        <v>2019</v>
      </c>
      <c r="AU24" s="11">
        <v>2020</v>
      </c>
      <c r="AV24" s="11">
        <v>2021</v>
      </c>
      <c r="AW24" s="11">
        <v>2022</v>
      </c>
      <c r="AX24" s="484">
        <v>2023</v>
      </c>
      <c r="BA24" s="483" t="s">
        <v>123</v>
      </c>
      <c r="BB24" s="21" t="s">
        <v>104</v>
      </c>
      <c r="BC24" s="21" t="s">
        <v>122</v>
      </c>
      <c r="BD24" s="97" t="s">
        <v>404</v>
      </c>
      <c r="BE24" s="445"/>
      <c r="BF24" s="445"/>
      <c r="BG24" s="445"/>
      <c r="BH24" s="445"/>
      <c r="BI24" s="445"/>
      <c r="BJ24" s="445"/>
      <c r="BK24" s="445"/>
      <c r="BL24" s="459"/>
    </row>
    <row r="25" spans="1:69" ht="15.75" thickTop="1" x14ac:dyDescent="0.25">
      <c r="A25" s="3" t="s">
        <v>4513</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5" t="s">
        <v>98</v>
      </c>
      <c r="AD25" s="201">
        <v>13</v>
      </c>
      <c r="AE25" s="201">
        <v>13</v>
      </c>
      <c r="AF25" s="201">
        <v>12</v>
      </c>
      <c r="AG25" s="486">
        <f t="shared" ref="AG25:AG30" si="0">ROUND(AVERAGE(AD25:AF25),0)</f>
        <v>13</v>
      </c>
      <c r="AH25" s="98">
        <f>1/AG25</f>
        <v>7.6923076923076927E-2</v>
      </c>
      <c r="AI25" s="65"/>
      <c r="AJ25" s="445" t="s">
        <v>482</v>
      </c>
      <c r="AK25" s="65">
        <v>307590</v>
      </c>
      <c r="AL25" s="40">
        <f t="shared" ref="AL25:AL31" si="1">AK25/$AK$32</f>
        <v>0.52852604140713466</v>
      </c>
      <c r="AM25" s="65">
        <v>149352</v>
      </c>
      <c r="AN25" s="40">
        <f t="shared" ref="AN25:AN31" si="2">AM25/$AM$32</f>
        <v>0.46584426318990657</v>
      </c>
      <c r="AO25" s="445"/>
      <c r="AP25" s="445"/>
      <c r="AQ25" s="249" t="s">
        <v>695</v>
      </c>
      <c r="AR25" s="479">
        <v>8713326</v>
      </c>
      <c r="AS25" s="479">
        <v>8876820</v>
      </c>
      <c r="AT25" s="479">
        <v>9035976</v>
      </c>
      <c r="AU25" s="479">
        <v>9347181</v>
      </c>
      <c r="AV25" s="479">
        <v>9488335</v>
      </c>
      <c r="AW25" s="502">
        <v>8891119</v>
      </c>
      <c r="AX25" s="493">
        <v>8593281</v>
      </c>
      <c r="BA25" s="485" t="s">
        <v>124</v>
      </c>
      <c r="BB25" s="201">
        <v>14</v>
      </c>
      <c r="BC25" s="546" t="s">
        <v>4359</v>
      </c>
      <c r="BD25" s="98">
        <f t="shared" ref="BD25:BD33" si="3">1/BB25</f>
        <v>7.1428571428571425E-2</v>
      </c>
      <c r="BE25" s="445"/>
      <c r="BF25" s="445"/>
      <c r="BG25" s="445"/>
      <c r="BH25" s="445"/>
      <c r="BI25" s="445"/>
      <c r="BJ25" s="445"/>
      <c r="BK25" s="445"/>
      <c r="BL25" s="459"/>
    </row>
    <row r="26" spans="1:69" x14ac:dyDescent="0.25">
      <c r="A26" s="3" t="s">
        <v>4514</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7" t="s">
        <v>99</v>
      </c>
      <c r="AD26" s="65">
        <v>16</v>
      </c>
      <c r="AE26" s="65">
        <v>16</v>
      </c>
      <c r="AF26" s="65" t="s">
        <v>24</v>
      </c>
      <c r="AG26" s="488">
        <f t="shared" si="0"/>
        <v>16</v>
      </c>
      <c r="AH26" s="99">
        <f>1/AG26</f>
        <v>6.25E-2</v>
      </c>
      <c r="AI26" s="65"/>
      <c r="AJ26" s="445" t="s">
        <v>484</v>
      </c>
      <c r="AK26" s="65">
        <v>46915</v>
      </c>
      <c r="AL26" s="40">
        <f t="shared" si="1"/>
        <v>8.0613151378834555E-2</v>
      </c>
      <c r="AM26" s="65">
        <v>21077</v>
      </c>
      <c r="AN26" s="40">
        <f t="shared" si="2"/>
        <v>6.5741332792688817E-2</v>
      </c>
      <c r="AO26" s="445"/>
      <c r="AP26" s="445"/>
      <c r="AQ26" s="397" t="s">
        <v>108</v>
      </c>
      <c r="AR26" s="65">
        <v>8179898</v>
      </c>
      <c r="AS26" s="65">
        <v>8331707</v>
      </c>
      <c r="AT26" s="65">
        <v>8465227</v>
      </c>
      <c r="AU26" s="65">
        <v>8734678</v>
      </c>
      <c r="AV26" s="65">
        <v>8824645</v>
      </c>
      <c r="AW26" s="65">
        <v>8213359</v>
      </c>
      <c r="AX26" s="494">
        <v>7870518</v>
      </c>
      <c r="BA26" s="485" t="s">
        <v>731</v>
      </c>
      <c r="BB26" s="201">
        <v>16</v>
      </c>
      <c r="BC26" s="546" t="s">
        <v>4359</v>
      </c>
      <c r="BD26" s="98">
        <f t="shared" si="3"/>
        <v>6.25E-2</v>
      </c>
      <c r="BE26" s="445"/>
      <c r="BF26" s="445"/>
      <c r="BG26" s="445"/>
      <c r="BH26" s="445"/>
      <c r="BI26" s="445"/>
      <c r="BJ26" s="445"/>
      <c r="BK26" s="445"/>
      <c r="BL26" s="459"/>
    </row>
    <row r="27" spans="1:69" x14ac:dyDescent="0.25">
      <c r="A27" s="3" t="s">
        <v>4508</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5" t="s">
        <v>100</v>
      </c>
      <c r="AD27" s="201" t="s">
        <v>24</v>
      </c>
      <c r="AE27" s="201" t="s">
        <v>24</v>
      </c>
      <c r="AF27" s="201">
        <v>13</v>
      </c>
      <c r="AG27" s="486">
        <f t="shared" si="0"/>
        <v>13</v>
      </c>
      <c r="AH27" s="98">
        <f t="shared" ref="AH27:AH35" si="4">1/AG27</f>
        <v>7.6923076923076927E-2</v>
      </c>
      <c r="AI27" s="65"/>
      <c r="AJ27" s="445" t="s">
        <v>483</v>
      </c>
      <c r="AK27" s="65">
        <v>161295</v>
      </c>
      <c r="AL27" s="40">
        <f t="shared" si="1"/>
        <v>0.27715012792601768</v>
      </c>
      <c r="AM27" s="65">
        <v>111812</v>
      </c>
      <c r="AN27" s="40">
        <f t="shared" si="2"/>
        <v>0.34875313859733942</v>
      </c>
      <c r="AO27" s="445"/>
      <c r="AP27" s="445"/>
      <c r="AQ27" s="397" t="s">
        <v>107</v>
      </c>
      <c r="AR27" s="65">
        <v>453812</v>
      </c>
      <c r="AS27" s="65">
        <v>446005</v>
      </c>
      <c r="AT27" s="65">
        <v>451103</v>
      </c>
      <c r="AU27" s="65">
        <v>471266</v>
      </c>
      <c r="AV27" s="65">
        <v>486466</v>
      </c>
      <c r="AW27" s="65">
        <v>455828</v>
      </c>
      <c r="AX27" s="494">
        <v>436300</v>
      </c>
      <c r="BA27" s="485" t="s">
        <v>732</v>
      </c>
      <c r="BB27" s="201">
        <v>18</v>
      </c>
      <c r="BC27" s="546" t="s">
        <v>4359</v>
      </c>
      <c r="BD27" s="98">
        <f t="shared" si="3"/>
        <v>5.5555555555555552E-2</v>
      </c>
      <c r="BE27" s="445"/>
      <c r="BF27" s="445"/>
      <c r="BG27" s="445"/>
      <c r="BH27" s="445"/>
      <c r="BI27" s="445"/>
      <c r="BJ27" s="445"/>
      <c r="BK27" s="445"/>
      <c r="BL27" s="459"/>
    </row>
    <row r="28" spans="1:69" x14ac:dyDescent="0.25">
      <c r="A28" s="3" t="s">
        <v>4515</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5" t="s">
        <v>101</v>
      </c>
      <c r="AD28" s="201">
        <v>12</v>
      </c>
      <c r="AE28" s="201">
        <v>9</v>
      </c>
      <c r="AF28" s="201" t="s">
        <v>24</v>
      </c>
      <c r="AG28" s="486">
        <f>AD28</f>
        <v>12</v>
      </c>
      <c r="AH28" s="98">
        <f t="shared" si="4"/>
        <v>8.3333333333333329E-2</v>
      </c>
      <c r="AI28" s="65"/>
      <c r="AJ28" s="445" t="s">
        <v>480</v>
      </c>
      <c r="AK28" s="65">
        <v>2552</v>
      </c>
      <c r="AL28" s="40">
        <f t="shared" si="1"/>
        <v>4.3850530175591129E-3</v>
      </c>
      <c r="AM28" s="65">
        <v>1878</v>
      </c>
      <c r="AN28" s="40">
        <f t="shared" si="2"/>
        <v>5.8576753325743514E-3</v>
      </c>
      <c r="AO28" s="445"/>
      <c r="AP28" s="445"/>
      <c r="AQ28" s="397" t="s">
        <v>131</v>
      </c>
      <c r="AR28" s="65">
        <v>5816</v>
      </c>
      <c r="AS28" s="65">
        <v>11579</v>
      </c>
      <c r="AT28" s="65">
        <v>18079</v>
      </c>
      <c r="AU28" s="65">
        <v>24615</v>
      </c>
      <c r="AV28" s="65">
        <v>35989</v>
      </c>
      <c r="AW28" s="65">
        <v>54866</v>
      </c>
      <c r="AX28" s="494">
        <v>83805</v>
      </c>
      <c r="BA28" s="485" t="s">
        <v>779</v>
      </c>
      <c r="BB28" s="201">
        <v>19</v>
      </c>
      <c r="BC28" s="547" t="s">
        <v>777</v>
      </c>
      <c r="BD28" s="98">
        <f t="shared" si="3"/>
        <v>5.2631578947368418E-2</v>
      </c>
      <c r="BE28" s="445"/>
      <c r="BF28" s="445"/>
      <c r="BG28" s="445"/>
      <c r="BH28" s="445"/>
      <c r="BI28" s="445"/>
      <c r="BJ28" s="445"/>
      <c r="BK28" s="445"/>
      <c r="BL28" s="459"/>
    </row>
    <row r="29" spans="1:69" x14ac:dyDescent="0.25">
      <c r="A29" s="3" t="s">
        <v>4509</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9" t="s">
        <v>102</v>
      </c>
      <c r="AD29" s="490">
        <v>18</v>
      </c>
      <c r="AE29" s="490">
        <v>12</v>
      </c>
      <c r="AF29" s="490">
        <v>12</v>
      </c>
      <c r="AG29" s="491">
        <f t="shared" si="0"/>
        <v>14</v>
      </c>
      <c r="AH29" s="99">
        <f t="shared" si="4"/>
        <v>7.1428571428571425E-2</v>
      </c>
      <c r="AI29" s="65"/>
      <c r="AJ29" s="445" t="s">
        <v>485</v>
      </c>
      <c r="AK29" s="65">
        <v>14831</v>
      </c>
      <c r="AL29" s="40">
        <f t="shared" si="1"/>
        <v>2.5483824962154861E-2</v>
      </c>
      <c r="AM29" s="65">
        <v>7711</v>
      </c>
      <c r="AN29" s="40">
        <f t="shared" si="2"/>
        <v>2.4051402816549959E-2</v>
      </c>
      <c r="AO29" s="445"/>
      <c r="AP29" s="445"/>
      <c r="AQ29" s="397" t="s">
        <v>132</v>
      </c>
      <c r="AR29" s="65">
        <v>65223</v>
      </c>
      <c r="AS29" s="65">
        <v>71923</v>
      </c>
      <c r="AT29" s="65">
        <v>81283</v>
      </c>
      <c r="AU29" s="65">
        <v>93803</v>
      </c>
      <c r="AV29" s="65">
        <v>115534</v>
      </c>
      <c r="AW29" s="65">
        <v>137897</v>
      </c>
      <c r="AX29" s="494">
        <v>168606</v>
      </c>
      <c r="BA29" s="489" t="s">
        <v>120</v>
      </c>
      <c r="BB29" s="490">
        <v>23</v>
      </c>
      <c r="BC29" s="548" t="s">
        <v>125</v>
      </c>
      <c r="BD29" s="102">
        <f t="shared" si="3"/>
        <v>4.3478260869565216E-2</v>
      </c>
      <c r="BE29" s="445"/>
      <c r="BF29" s="445"/>
      <c r="BG29" s="445"/>
      <c r="BH29" s="445"/>
      <c r="BI29" s="445"/>
      <c r="BJ29" s="445"/>
      <c r="BK29" s="445"/>
      <c r="BL29" s="459"/>
    </row>
    <row r="30" spans="1:69" ht="17.25" x14ac:dyDescent="0.25">
      <c r="A30" s="3" t="s">
        <v>4516</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7" t="s">
        <v>117</v>
      </c>
      <c r="AD30" s="65">
        <v>8</v>
      </c>
      <c r="AE30" s="65">
        <v>9</v>
      </c>
      <c r="AF30" s="65">
        <v>8</v>
      </c>
      <c r="AG30" s="488">
        <f t="shared" si="0"/>
        <v>8</v>
      </c>
      <c r="AH30" s="99">
        <f t="shared" si="4"/>
        <v>0.125</v>
      </c>
      <c r="AI30" s="65"/>
      <c r="AJ30" s="445" t="s">
        <v>481</v>
      </c>
      <c r="AK30" s="65">
        <v>43171</v>
      </c>
      <c r="AL30" s="40">
        <f t="shared" si="1"/>
        <v>7.4179907453387331E-2</v>
      </c>
      <c r="AM30" s="65">
        <v>23501</v>
      </c>
      <c r="AN30" s="40">
        <f t="shared" si="2"/>
        <v>7.3302038333775202E-2</v>
      </c>
      <c r="AO30" s="445"/>
      <c r="AP30" s="445"/>
      <c r="AQ30" s="397" t="s">
        <v>133</v>
      </c>
      <c r="AR30" s="65">
        <v>7717</v>
      </c>
      <c r="AS30" s="65">
        <v>14666</v>
      </c>
      <c r="AT30" s="65">
        <v>19215</v>
      </c>
      <c r="AU30" s="65">
        <v>21632</v>
      </c>
      <c r="AV30" s="65">
        <v>24391</v>
      </c>
      <c r="AW30" s="65">
        <v>27861</v>
      </c>
      <c r="AX30" s="494">
        <v>32741</v>
      </c>
      <c r="BA30" s="485" t="s">
        <v>121</v>
      </c>
      <c r="BB30" s="201">
        <v>17</v>
      </c>
      <c r="BC30" s="546" t="s">
        <v>125</v>
      </c>
      <c r="BD30" s="98">
        <f t="shared" si="3"/>
        <v>5.8823529411764705E-2</v>
      </c>
      <c r="BE30" s="445"/>
      <c r="BF30" s="445"/>
      <c r="BG30" s="445"/>
      <c r="BH30" s="445"/>
      <c r="BI30" s="445"/>
      <c r="BJ30" s="445"/>
      <c r="BK30" s="445"/>
      <c r="BL30" s="459"/>
    </row>
    <row r="31" spans="1:69" x14ac:dyDescent="0.25">
      <c r="B31" s="167" t="s">
        <v>4383</v>
      </c>
      <c r="C31" s="885"/>
      <c r="D31" s="885"/>
      <c r="E31" s="885"/>
      <c r="F31" s="885"/>
      <c r="G31" s="885"/>
      <c r="H31" s="885"/>
      <c r="I31" s="885"/>
      <c r="J31" s="885"/>
      <c r="K31" s="885"/>
      <c r="L31" s="885"/>
      <c r="M31" s="885"/>
      <c r="N31" s="885"/>
      <c r="O31" s="885"/>
      <c r="P31" s="885"/>
      <c r="Q31" s="885"/>
      <c r="R31" s="885"/>
      <c r="S31" s="885"/>
      <c r="T31" s="885"/>
      <c r="U31" s="885"/>
      <c r="V31" s="885"/>
      <c r="W31" s="885"/>
      <c r="AC31" s="487" t="s">
        <v>103</v>
      </c>
      <c r="AD31" s="65">
        <v>30</v>
      </c>
      <c r="AE31" s="65">
        <v>30</v>
      </c>
      <c r="AF31" s="65">
        <v>30</v>
      </c>
      <c r="AG31" s="488">
        <v>30</v>
      </c>
      <c r="AH31" s="99">
        <f t="shared" si="4"/>
        <v>3.3333333333333333E-2</v>
      </c>
      <c r="AI31" s="65"/>
      <c r="AJ31" s="445" t="s">
        <v>1470</v>
      </c>
      <c r="AK31" s="65">
        <v>5623</v>
      </c>
      <c r="AL31" s="40">
        <f t="shared" si="1"/>
        <v>9.6618938549117919E-3</v>
      </c>
      <c r="AM31" s="65">
        <v>5274</v>
      </c>
      <c r="AN31" s="40">
        <f t="shared" si="2"/>
        <v>1.6450148937165673E-2</v>
      </c>
      <c r="AO31" s="445"/>
      <c r="AP31" s="445"/>
      <c r="AQ31" s="397" t="s">
        <v>698</v>
      </c>
      <c r="AR31" s="65">
        <v>860</v>
      </c>
      <c r="AS31" s="65">
        <v>940</v>
      </c>
      <c r="AT31" s="65">
        <v>1069</v>
      </c>
      <c r="AU31" s="65">
        <v>1187</v>
      </c>
      <c r="AV31" s="65">
        <v>1310</v>
      </c>
      <c r="AW31" s="65">
        <v>1308</v>
      </c>
      <c r="AX31" s="494">
        <v>1311</v>
      </c>
      <c r="BA31" s="485" t="s">
        <v>127</v>
      </c>
      <c r="BB31" s="201">
        <v>24</v>
      </c>
      <c r="BC31" s="546" t="s">
        <v>126</v>
      </c>
      <c r="BD31" s="98">
        <f t="shared" si="3"/>
        <v>4.1666666666666664E-2</v>
      </c>
      <c r="BE31" s="445"/>
      <c r="BF31" s="445"/>
      <c r="BG31" s="445"/>
      <c r="BH31" s="445"/>
      <c r="BI31" s="445"/>
      <c r="BJ31" s="445"/>
      <c r="BK31" s="445"/>
      <c r="BL31" s="459"/>
    </row>
    <row r="32" spans="1:69" ht="17.25" x14ac:dyDescent="0.25">
      <c r="A32" s="3" t="s">
        <v>4517</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7" t="s">
        <v>118</v>
      </c>
      <c r="AD32" s="65" t="s">
        <v>24</v>
      </c>
      <c r="AE32" s="65" t="s">
        <v>24</v>
      </c>
      <c r="AF32" s="65" t="s">
        <v>24</v>
      </c>
      <c r="AG32" s="492" t="s">
        <v>24</v>
      </c>
      <c r="AH32" s="100"/>
      <c r="AI32" s="65"/>
      <c r="AJ32" s="266" t="s">
        <v>248</v>
      </c>
      <c r="AK32" s="267">
        <f>SUM(AK25:AK31)</f>
        <v>581977</v>
      </c>
      <c r="AL32" s="290">
        <f>SUM(AL25:AL31)</f>
        <v>0.99999999999999989</v>
      </c>
      <c r="AM32" s="267">
        <f>SUM(AM25:AM31)</f>
        <v>320605</v>
      </c>
      <c r="AN32" s="290">
        <f>SUM(AN25:AN31)</f>
        <v>0.99999999999999989</v>
      </c>
      <c r="AO32" s="445"/>
      <c r="AP32" s="445"/>
      <c r="AQ32" s="249" t="s">
        <v>938</v>
      </c>
      <c r="AR32" s="479">
        <v>8198757</v>
      </c>
      <c r="AS32" s="479">
        <v>8356239</v>
      </c>
      <c r="AT32" s="479">
        <v>8511305</v>
      </c>
      <c r="AU32" s="479">
        <v>8797979</v>
      </c>
      <c r="AV32" s="479">
        <v>8898759</v>
      </c>
      <c r="AW32" s="502">
        <v>8333015</v>
      </c>
      <c r="AX32" s="493">
        <v>8050235</v>
      </c>
      <c r="BA32" s="485" t="s">
        <v>128</v>
      </c>
      <c r="BB32" s="201">
        <v>30</v>
      </c>
      <c r="BC32" s="546" t="s">
        <v>181</v>
      </c>
      <c r="BD32" s="98">
        <f t="shared" si="3"/>
        <v>3.3333333333333333E-2</v>
      </c>
      <c r="BE32" s="445"/>
      <c r="BF32" s="445"/>
      <c r="BG32" s="445"/>
      <c r="BH32" s="445"/>
      <c r="BI32" s="445"/>
      <c r="BJ32" s="445"/>
      <c r="BK32" s="445"/>
      <c r="BL32" s="459"/>
    </row>
    <row r="33" spans="1:64" ht="15.75" thickBot="1" x14ac:dyDescent="0.3">
      <c r="A33" s="3" t="s">
        <v>4518</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7" t="s">
        <v>109</v>
      </c>
      <c r="AD33" s="65">
        <v>30</v>
      </c>
      <c r="AE33" s="65">
        <v>30</v>
      </c>
      <c r="AF33" s="65" t="s">
        <v>24</v>
      </c>
      <c r="AG33" s="488">
        <v>30</v>
      </c>
      <c r="AH33" s="99">
        <f t="shared" si="4"/>
        <v>3.3333333333333333E-2</v>
      </c>
      <c r="AI33" s="65"/>
      <c r="AJ33" s="445"/>
      <c r="AK33" s="445"/>
      <c r="AL33" s="445"/>
      <c r="AM33" s="445"/>
      <c r="AN33" s="445"/>
      <c r="AO33" s="445"/>
      <c r="AP33" s="445"/>
      <c r="AQ33" s="397" t="s">
        <v>108</v>
      </c>
      <c r="AR33" s="65">
        <v>7906955</v>
      </c>
      <c r="AS33" s="65">
        <v>8056355</v>
      </c>
      <c r="AT33" s="65">
        <v>8188611</v>
      </c>
      <c r="AU33" s="65">
        <v>8446490</v>
      </c>
      <c r="AV33" s="65">
        <v>8511018</v>
      </c>
      <c r="AW33" s="65">
        <v>7923796</v>
      </c>
      <c r="AX33" s="494">
        <v>7590948</v>
      </c>
      <c r="BA33" s="549" t="s">
        <v>129</v>
      </c>
      <c r="BB33" s="95">
        <v>30</v>
      </c>
      <c r="BC33" s="96" t="s">
        <v>181</v>
      </c>
      <c r="BD33" s="86">
        <f t="shared" si="3"/>
        <v>3.3333333333333333E-2</v>
      </c>
      <c r="BE33" s="445"/>
      <c r="BF33" s="445"/>
      <c r="BG33" s="445"/>
      <c r="BH33" s="445"/>
      <c r="BI33" s="445"/>
      <c r="BJ33" s="445"/>
      <c r="BK33" s="445"/>
      <c r="BL33" s="459"/>
    </row>
    <row r="34" spans="1:64" ht="15.75" x14ac:dyDescent="0.25">
      <c r="A34" s="3" t="s">
        <v>4519</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7" t="s">
        <v>110</v>
      </c>
      <c r="AD34" s="65">
        <v>30</v>
      </c>
      <c r="AE34" s="65">
        <v>30</v>
      </c>
      <c r="AF34" s="65" t="s">
        <v>24</v>
      </c>
      <c r="AG34" s="488">
        <v>30</v>
      </c>
      <c r="AH34" s="99">
        <f t="shared" si="4"/>
        <v>3.3333333333333333E-2</v>
      </c>
      <c r="AI34" s="65"/>
      <c r="AJ34" s="159" t="s">
        <v>1934</v>
      </c>
      <c r="AK34" s="28"/>
      <c r="AL34" s="28"/>
      <c r="AM34" s="28"/>
      <c r="AN34" s="28"/>
      <c r="AO34" s="445"/>
      <c r="AP34" s="445"/>
      <c r="AQ34" s="397" t="s">
        <v>107</v>
      </c>
      <c r="AR34" s="65">
        <v>212951</v>
      </c>
      <c r="AS34" s="65">
        <v>201624</v>
      </c>
      <c r="AT34" s="65">
        <v>203968</v>
      </c>
      <c r="AU34" s="65">
        <v>211279</v>
      </c>
      <c r="AV34" s="65">
        <v>211675</v>
      </c>
      <c r="AW34" s="65">
        <v>188482</v>
      </c>
      <c r="AX34" s="494">
        <v>174117</v>
      </c>
      <c r="BA34" s="497" t="s">
        <v>405</v>
      </c>
      <c r="BB34" s="445"/>
      <c r="BC34" s="445"/>
      <c r="BD34" s="445"/>
      <c r="BE34" s="445"/>
      <c r="BF34" s="445"/>
      <c r="BG34" s="445"/>
      <c r="BH34" s="445"/>
      <c r="BI34" s="445"/>
      <c r="BJ34" s="445"/>
      <c r="BK34" s="445"/>
      <c r="BL34" s="459"/>
    </row>
    <row r="35" spans="1:64" ht="15.75" customHeight="1" thickBot="1" x14ac:dyDescent="0.3">
      <c r="A35" s="3" t="s">
        <v>4520</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5" t="s">
        <v>111</v>
      </c>
      <c r="AD35" s="20" t="s">
        <v>24</v>
      </c>
      <c r="AE35" s="20">
        <v>30</v>
      </c>
      <c r="AF35" s="20">
        <v>30</v>
      </c>
      <c r="AG35" s="82">
        <v>30</v>
      </c>
      <c r="AH35" s="101">
        <f t="shared" si="4"/>
        <v>3.3333333333333333E-2</v>
      </c>
      <c r="AI35" s="445"/>
      <c r="AJ35" s="88" t="s">
        <v>1326</v>
      </c>
      <c r="AK35" s="88" t="s">
        <v>1940</v>
      </c>
      <c r="AL35" s="88" t="s">
        <v>1941</v>
      </c>
      <c r="AM35" s="88" t="s">
        <v>1936</v>
      </c>
      <c r="AN35" s="88" t="s">
        <v>1937</v>
      </c>
      <c r="AO35" s="445"/>
      <c r="AP35" s="445"/>
      <c r="AQ35" s="397" t="s">
        <v>131</v>
      </c>
      <c r="AR35" s="65">
        <v>5810</v>
      </c>
      <c r="AS35" s="65">
        <v>11563</v>
      </c>
      <c r="AT35" s="65">
        <v>18055</v>
      </c>
      <c r="AU35" s="65">
        <v>24574</v>
      </c>
      <c r="AV35" s="65">
        <v>35945</v>
      </c>
      <c r="AW35" s="65">
        <v>54811</v>
      </c>
      <c r="AX35" s="494">
        <v>83722</v>
      </c>
      <c r="BA35" s="948" t="s">
        <v>1645</v>
      </c>
      <c r="BB35" s="550"/>
      <c r="BC35" s="550"/>
      <c r="BD35" s="550"/>
      <c r="BE35" s="445"/>
      <c r="BF35" s="445"/>
      <c r="BG35" s="445"/>
      <c r="BH35" s="445"/>
      <c r="BI35" s="445"/>
      <c r="BJ35" s="445"/>
      <c r="BK35" s="445"/>
      <c r="BL35" s="459"/>
    </row>
    <row r="36" spans="1:64" x14ac:dyDescent="0.25">
      <c r="A36" s="3" t="s">
        <v>4521</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7" t="s">
        <v>112</v>
      </c>
      <c r="AD36" s="445"/>
      <c r="AE36" s="445"/>
      <c r="AF36" s="445"/>
      <c r="AG36" s="445"/>
      <c r="AH36" s="445"/>
      <c r="AI36" s="445"/>
      <c r="AJ36" s="498" t="s">
        <v>491</v>
      </c>
      <c r="AK36" s="65">
        <v>71069</v>
      </c>
      <c r="AL36" s="40">
        <f t="shared" ref="AL36:AL41" si="5">AK36/$AK$42</f>
        <v>5.0561290152753166E-2</v>
      </c>
      <c r="AM36" s="65">
        <v>33648</v>
      </c>
      <c r="AN36" s="40">
        <f t="shared" ref="AN36:AN41" si="6">AM36/$AM$42</f>
        <v>2.506757099051473E-2</v>
      </c>
      <c r="AO36" s="445"/>
      <c r="AP36" s="445"/>
      <c r="AQ36" s="397" t="s">
        <v>132</v>
      </c>
      <c r="AR36" s="65">
        <v>65222</v>
      </c>
      <c r="AS36" s="65">
        <v>71922</v>
      </c>
      <c r="AT36" s="65">
        <v>81282</v>
      </c>
      <c r="AU36" s="65">
        <v>93802</v>
      </c>
      <c r="AV36" s="65">
        <v>115533</v>
      </c>
      <c r="AW36" s="65">
        <v>137897</v>
      </c>
      <c r="AX36" s="494">
        <v>168552</v>
      </c>
      <c r="BA36" s="948"/>
      <c r="BB36" s="550"/>
      <c r="BC36" s="550"/>
      <c r="BD36" s="550"/>
      <c r="BE36" s="445"/>
      <c r="BF36" s="445"/>
      <c r="BG36" s="445"/>
      <c r="BH36" s="445"/>
      <c r="BI36" s="445"/>
      <c r="BJ36" s="445"/>
      <c r="BK36" s="445"/>
      <c r="BL36" s="459"/>
    </row>
    <row r="37" spans="1:64" x14ac:dyDescent="0.25">
      <c r="A37" s="3" t="s">
        <v>4522</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7" t="s">
        <v>113</v>
      </c>
      <c r="AD37" s="445"/>
      <c r="AE37" s="445"/>
      <c r="AF37" s="445"/>
      <c r="AG37" s="445"/>
      <c r="AH37" s="445"/>
      <c r="AI37" s="445"/>
      <c r="AJ37" s="498" t="s">
        <v>487</v>
      </c>
      <c r="AK37" s="65">
        <v>29975</v>
      </c>
      <c r="AL37" s="40">
        <f t="shared" si="5"/>
        <v>2.1325397463433791E-2</v>
      </c>
      <c r="AM37" s="65">
        <v>27749</v>
      </c>
      <c r="AN37" s="40">
        <f t="shared" si="6"/>
        <v>2.0672849126717584E-2</v>
      </c>
      <c r="AO37" s="445"/>
      <c r="AP37" s="445"/>
      <c r="AQ37" s="397" t="s">
        <v>133</v>
      </c>
      <c r="AR37" s="65">
        <v>7717</v>
      </c>
      <c r="AS37" s="65">
        <v>14666</v>
      </c>
      <c r="AT37" s="65">
        <v>19215</v>
      </c>
      <c r="AU37" s="65">
        <v>21632</v>
      </c>
      <c r="AV37" s="65">
        <v>24391</v>
      </c>
      <c r="AW37" s="65">
        <v>27861</v>
      </c>
      <c r="AX37" s="494">
        <v>32741</v>
      </c>
      <c r="BA37" s="487"/>
      <c r="BB37" s="445"/>
      <c r="BC37" s="445"/>
      <c r="BD37" s="445"/>
      <c r="BE37" s="445"/>
      <c r="BF37" s="445"/>
      <c r="BG37" s="445"/>
      <c r="BH37" s="445"/>
      <c r="BI37" s="445"/>
      <c r="BJ37" s="445"/>
      <c r="BK37" s="445"/>
      <c r="BL37" s="459"/>
    </row>
    <row r="38" spans="1:64" ht="15.75" x14ac:dyDescent="0.25">
      <c r="A38" s="3" t="s">
        <v>4523</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7" t="s">
        <v>114</v>
      </c>
      <c r="AD38" s="445"/>
      <c r="AE38" s="445"/>
      <c r="AF38" s="445"/>
      <c r="AG38" s="445"/>
      <c r="AH38" s="445"/>
      <c r="AI38" s="445"/>
      <c r="AJ38" s="498" t="s">
        <v>488</v>
      </c>
      <c r="AK38" s="65">
        <v>361195</v>
      </c>
      <c r="AL38" s="40">
        <f t="shared" si="5"/>
        <v>0.25696837153644597</v>
      </c>
      <c r="AM38" s="65">
        <v>317412</v>
      </c>
      <c r="AN38" s="40">
        <f t="shared" si="6"/>
        <v>0.23647015701501611</v>
      </c>
      <c r="AO38" s="445"/>
      <c r="AP38" s="445"/>
      <c r="AQ38" s="397" t="s">
        <v>698</v>
      </c>
      <c r="AR38" s="65">
        <v>102</v>
      </c>
      <c r="AS38" s="65">
        <v>109</v>
      </c>
      <c r="AT38" s="65">
        <v>174</v>
      </c>
      <c r="AU38" s="65">
        <v>202</v>
      </c>
      <c r="AV38" s="65">
        <v>197</v>
      </c>
      <c r="AW38" s="65">
        <v>168</v>
      </c>
      <c r="AX38" s="494">
        <v>155</v>
      </c>
      <c r="BA38" s="468" t="s">
        <v>737</v>
      </c>
      <c r="BB38" s="445"/>
      <c r="BC38" s="445"/>
      <c r="BD38" s="261" t="s">
        <v>588</v>
      </c>
      <c r="BE38" s="551"/>
      <c r="BF38" s="445"/>
      <c r="BG38" s="445"/>
      <c r="BH38" s="445"/>
      <c r="BI38" s="445"/>
      <c r="BJ38" s="445"/>
      <c r="BK38" s="445"/>
      <c r="BL38" s="459"/>
    </row>
    <row r="39" spans="1:64" ht="15.75" thickBot="1" x14ac:dyDescent="0.3">
      <c r="A39" s="3" t="s">
        <v>4524</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7" t="s">
        <v>115</v>
      </c>
      <c r="AD39" s="445"/>
      <c r="AE39" s="445"/>
      <c r="AF39" s="445"/>
      <c r="AG39" s="445"/>
      <c r="AH39" s="445"/>
      <c r="AI39" s="445"/>
      <c r="AJ39" s="498" t="s">
        <v>489</v>
      </c>
      <c r="AK39" s="65">
        <v>742105</v>
      </c>
      <c r="AL39" s="40">
        <f t="shared" si="5"/>
        <v>0.52796277179654827</v>
      </c>
      <c r="AM39" s="65">
        <v>763343</v>
      </c>
      <c r="AN39" s="40">
        <f t="shared" si="6"/>
        <v>0.56868624710569682</v>
      </c>
      <c r="AO39" s="445"/>
      <c r="AP39" s="445"/>
      <c r="AQ39" s="249" t="s">
        <v>696</v>
      </c>
      <c r="AR39" s="479">
        <v>3780952</v>
      </c>
      <c r="AS39" s="479">
        <v>3725583</v>
      </c>
      <c r="AT39" s="479">
        <v>3672050</v>
      </c>
      <c r="AU39" s="479">
        <v>3680447</v>
      </c>
      <c r="AV39" s="479">
        <v>3590167</v>
      </c>
      <c r="AW39" s="502">
        <v>3226047</v>
      </c>
      <c r="AX39" s="493">
        <v>3009490</v>
      </c>
      <c r="BA39" s="483" t="s">
        <v>123</v>
      </c>
      <c r="BB39" s="21" t="s">
        <v>736</v>
      </c>
      <c r="BC39" s="21" t="s">
        <v>122</v>
      </c>
      <c r="BD39" s="21" t="s">
        <v>123</v>
      </c>
      <c r="BE39" s="21" t="s">
        <v>594</v>
      </c>
      <c r="BF39" s="445"/>
      <c r="BG39" s="445"/>
      <c r="BH39" s="445"/>
      <c r="BI39" s="445"/>
      <c r="BJ39" s="445"/>
      <c r="BK39" s="445"/>
      <c r="BL39" s="459"/>
    </row>
    <row r="40" spans="1:64" ht="15.75" thickTop="1" x14ac:dyDescent="0.25">
      <c r="A40" s="3" t="s">
        <v>4525</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7" t="s">
        <v>116</v>
      </c>
      <c r="AD40" s="445"/>
      <c r="AE40" s="445"/>
      <c r="AF40" s="445"/>
      <c r="AG40" s="445"/>
      <c r="AH40" s="445"/>
      <c r="AI40" s="445"/>
      <c r="AJ40" s="498" t="s">
        <v>490</v>
      </c>
      <c r="AK40" s="65">
        <v>153791</v>
      </c>
      <c r="AL40" s="40">
        <f t="shared" si="5"/>
        <v>0.10941298419679553</v>
      </c>
      <c r="AM40" s="65">
        <v>164298</v>
      </c>
      <c r="AN40" s="40">
        <f t="shared" si="6"/>
        <v>0.1224010870958033</v>
      </c>
      <c r="AO40" s="445"/>
      <c r="AP40" s="445"/>
      <c r="AQ40" s="397" t="s">
        <v>108</v>
      </c>
      <c r="AR40" s="65">
        <v>3653371</v>
      </c>
      <c r="AS40" s="65">
        <v>3601635</v>
      </c>
      <c r="AT40" s="65">
        <v>3536644</v>
      </c>
      <c r="AU40" s="65">
        <v>3532080</v>
      </c>
      <c r="AV40" s="65">
        <v>3435320</v>
      </c>
      <c r="AW40" s="65">
        <v>3070659</v>
      </c>
      <c r="AX40" s="496">
        <v>2850298</v>
      </c>
      <c r="BA40" s="487" t="s">
        <v>729</v>
      </c>
      <c r="BB40" s="65">
        <v>189173.81522714632</v>
      </c>
      <c r="BC40" s="548" t="s">
        <v>730</v>
      </c>
      <c r="BD40" s="445" t="s">
        <v>242</v>
      </c>
      <c r="BE40" s="445">
        <v>1.54</v>
      </c>
      <c r="BF40" s="445"/>
      <c r="BG40" s="445"/>
      <c r="BH40" s="445"/>
      <c r="BI40" s="445"/>
      <c r="BJ40" s="445"/>
      <c r="BK40" s="445"/>
      <c r="BL40" s="459"/>
    </row>
    <row r="41" spans="1:64" x14ac:dyDescent="0.25">
      <c r="B41" s="886" t="s">
        <v>178</v>
      </c>
      <c r="C41"/>
      <c r="D41"/>
      <c r="E41"/>
      <c r="F41"/>
      <c r="G41"/>
      <c r="H41"/>
      <c r="I41"/>
      <c r="J41"/>
      <c r="K41"/>
      <c r="L41"/>
      <c r="M41"/>
      <c r="N41"/>
      <c r="O41"/>
      <c r="P41"/>
      <c r="Q41"/>
      <c r="R41"/>
      <c r="S41"/>
      <c r="T41"/>
      <c r="U41"/>
      <c r="V41"/>
      <c r="W41"/>
      <c r="AC41" s="487"/>
      <c r="AD41" s="65"/>
      <c r="AE41" s="65"/>
      <c r="AF41" s="65"/>
      <c r="AG41" s="65"/>
      <c r="AH41" s="65"/>
      <c r="AI41" s="445"/>
      <c r="AJ41" s="498" t="s">
        <v>492</v>
      </c>
      <c r="AK41" s="65">
        <v>47466</v>
      </c>
      <c r="AL41" s="40">
        <f t="shared" si="5"/>
        <v>3.3769184854023297E-2</v>
      </c>
      <c r="AM41" s="65">
        <v>35842</v>
      </c>
      <c r="AN41" s="40">
        <f t="shared" si="6"/>
        <v>2.6702088666251456E-2</v>
      </c>
      <c r="AO41" s="445"/>
      <c r="AP41" s="445"/>
      <c r="AQ41" s="397" t="s">
        <v>107</v>
      </c>
      <c r="AR41" s="65">
        <v>66149</v>
      </c>
      <c r="AS41" s="65">
        <v>49653</v>
      </c>
      <c r="AT41" s="65">
        <v>48338</v>
      </c>
      <c r="AU41" s="65">
        <v>50144</v>
      </c>
      <c r="AV41" s="65">
        <v>47834</v>
      </c>
      <c r="AW41" s="65">
        <v>39918</v>
      </c>
      <c r="AX41" s="496">
        <v>35489</v>
      </c>
      <c r="BA41" s="487" t="s">
        <v>733</v>
      </c>
      <c r="BB41" s="65">
        <v>224233.79246891974</v>
      </c>
      <c r="BC41" s="548" t="s">
        <v>730</v>
      </c>
      <c r="BD41" s="445" t="s">
        <v>244</v>
      </c>
      <c r="BE41" s="445">
        <v>1.83</v>
      </c>
      <c r="BF41" s="445"/>
      <c r="BG41" s="445"/>
      <c r="BH41" s="445"/>
      <c r="BI41" s="445"/>
      <c r="BJ41" s="445"/>
      <c r="BK41" s="445"/>
      <c r="BL41" s="459"/>
    </row>
    <row r="42" spans="1:64" ht="15.75" x14ac:dyDescent="0.25">
      <c r="B42"/>
      <c r="C42"/>
      <c r="D42"/>
      <c r="E42"/>
      <c r="F42"/>
      <c r="G42"/>
      <c r="H42"/>
      <c r="I42"/>
      <c r="J42"/>
      <c r="K42"/>
      <c r="L42"/>
      <c r="M42"/>
      <c r="N42"/>
      <c r="O42"/>
      <c r="P42"/>
      <c r="Q42"/>
      <c r="R42"/>
      <c r="S42"/>
      <c r="T42"/>
      <c r="U42"/>
      <c r="V42"/>
      <c r="W42"/>
      <c r="X42" s="85"/>
      <c r="AC42" s="512" t="s">
        <v>3982</v>
      </c>
      <c r="AD42" s="65"/>
      <c r="AE42" s="65"/>
      <c r="AF42" s="65"/>
      <c r="AG42" s="65"/>
      <c r="AH42" s="65"/>
      <c r="AI42" s="445"/>
      <c r="AJ42" s="266" t="s">
        <v>248</v>
      </c>
      <c r="AK42" s="267">
        <f>SUM(AK36:AK41)</f>
        <v>1405601</v>
      </c>
      <c r="AL42" s="290">
        <f>SUM(AL36:AL41)</f>
        <v>1</v>
      </c>
      <c r="AM42" s="267">
        <f>SUM(AM36:AM41)</f>
        <v>1342292</v>
      </c>
      <c r="AN42" s="290">
        <f>SUM(AN36:AN41)</f>
        <v>1</v>
      </c>
      <c r="AO42" s="445"/>
      <c r="AP42" s="445"/>
      <c r="AQ42" s="397" t="s">
        <v>131</v>
      </c>
      <c r="AR42" s="65">
        <v>4745</v>
      </c>
      <c r="AS42" s="65">
        <v>9519</v>
      </c>
      <c r="AT42" s="65">
        <v>15027</v>
      </c>
      <c r="AU42" s="65">
        <v>19855</v>
      </c>
      <c r="AV42" s="490">
        <v>25366</v>
      </c>
      <c r="AW42" s="490">
        <v>33124</v>
      </c>
      <c r="AX42" s="496">
        <v>40841</v>
      </c>
      <c r="BA42" s="487" t="s">
        <v>734</v>
      </c>
      <c r="BB42" s="65">
        <v>223554.51907881928</v>
      </c>
      <c r="BC42" s="548" t="s">
        <v>730</v>
      </c>
      <c r="BD42" s="445" t="s">
        <v>589</v>
      </c>
      <c r="BE42" s="445">
        <v>2.44</v>
      </c>
      <c r="BF42" s="445"/>
      <c r="BG42" s="445"/>
      <c r="BH42" s="445"/>
      <c r="BI42" s="445"/>
      <c r="BJ42" s="445"/>
      <c r="BK42" s="445"/>
      <c r="BL42" s="459"/>
    </row>
    <row r="43" spans="1:64" ht="16.5" thickBot="1" x14ac:dyDescent="0.3">
      <c r="B43" s="939" t="s">
        <v>183</v>
      </c>
      <c r="C43" s="939"/>
      <c r="D43" s="939"/>
      <c r="E43" s="939"/>
      <c r="F43" s="939"/>
      <c r="G43" s="939"/>
      <c r="H43" s="939"/>
      <c r="I43" s="939"/>
      <c r="J43" s="939"/>
      <c r="K43" s="939"/>
      <c r="L43" s="939"/>
      <c r="M43" s="939"/>
      <c r="N43" s="939"/>
      <c r="O43" s="939"/>
      <c r="P43" s="939"/>
      <c r="Q43" s="939"/>
      <c r="R43" s="939"/>
      <c r="S43" s="939"/>
      <c r="T43" s="939"/>
      <c r="U43" s="939"/>
      <c r="V43" s="939"/>
      <c r="W43" s="939"/>
      <c r="AC43" s="483" t="s">
        <v>3983</v>
      </c>
      <c r="AD43" s="364" t="s">
        <v>4002</v>
      </c>
      <c r="AE43" s="364" t="s">
        <v>4003</v>
      </c>
      <c r="AF43" s="364" t="s">
        <v>4004</v>
      </c>
      <c r="AG43" s="364" t="s">
        <v>4777</v>
      </c>
      <c r="AH43" s="65"/>
      <c r="AI43" s="445"/>
      <c r="AJ43" s="445"/>
      <c r="AK43" s="445"/>
      <c r="AL43" s="445"/>
      <c r="AM43" s="445"/>
      <c r="AN43" s="445"/>
      <c r="AO43" s="445"/>
      <c r="AP43" s="445"/>
      <c r="AQ43" s="397" t="s">
        <v>132</v>
      </c>
      <c r="AR43" s="65">
        <v>49844</v>
      </c>
      <c r="AS43" s="65">
        <v>53072</v>
      </c>
      <c r="AT43" s="65">
        <v>57518</v>
      </c>
      <c r="AU43" s="65">
        <v>62479</v>
      </c>
      <c r="AV43" s="65">
        <v>65277</v>
      </c>
      <c r="AW43" s="65">
        <v>66128</v>
      </c>
      <c r="AX43" s="496">
        <v>67249</v>
      </c>
      <c r="BA43" s="487" t="s">
        <v>749</v>
      </c>
      <c r="BB43" s="65">
        <v>300000</v>
      </c>
      <c r="BC43" s="548" t="s">
        <v>735</v>
      </c>
      <c r="BD43" s="445" t="s">
        <v>257</v>
      </c>
      <c r="BE43" s="445">
        <v>1.49</v>
      </c>
      <c r="BF43" s="445"/>
      <c r="BG43" s="445"/>
      <c r="BH43" s="445"/>
      <c r="BI43" s="445"/>
      <c r="BJ43" s="445"/>
      <c r="BK43" s="445"/>
      <c r="BL43" s="459"/>
    </row>
    <row r="44" spans="1:64" ht="17.25" thickTop="1" thickBot="1" x14ac:dyDescent="0.3">
      <c r="B44" s="887"/>
      <c r="C44" s="888">
        <v>2000</v>
      </c>
      <c r="D44" s="889">
        <v>2001</v>
      </c>
      <c r="E44" s="889">
        <v>2002</v>
      </c>
      <c r="F44" s="889">
        <v>2003</v>
      </c>
      <c r="G44" s="889">
        <v>2004</v>
      </c>
      <c r="H44" s="889">
        <v>2005</v>
      </c>
      <c r="I44" s="889">
        <v>2006</v>
      </c>
      <c r="J44" s="889">
        <v>2007</v>
      </c>
      <c r="K44" s="889">
        <v>2008</v>
      </c>
      <c r="L44" s="889">
        <v>2009</v>
      </c>
      <c r="M44" s="889">
        <v>2010</v>
      </c>
      <c r="N44" s="889">
        <v>2011</v>
      </c>
      <c r="O44" s="889">
        <v>2012</v>
      </c>
      <c r="P44" s="889">
        <v>2013</v>
      </c>
      <c r="Q44" s="889">
        <v>2014</v>
      </c>
      <c r="R44" s="889">
        <v>2015</v>
      </c>
      <c r="S44" s="889">
        <v>2016</v>
      </c>
      <c r="T44" s="889">
        <v>2017</v>
      </c>
      <c r="U44" s="889">
        <v>2018</v>
      </c>
      <c r="V44" s="889">
        <v>2019</v>
      </c>
      <c r="W44" s="889">
        <v>2020</v>
      </c>
      <c r="X44" s="11">
        <v>2021</v>
      </c>
      <c r="AC44" s="487" t="s">
        <v>3984</v>
      </c>
      <c r="AD44" s="65">
        <v>1196239</v>
      </c>
      <c r="AE44" s="114">
        <f>AD44/$AD$52</f>
        <v>0.73619419335145142</v>
      </c>
      <c r="AF44" s="65"/>
      <c r="AG44" s="65"/>
      <c r="AH44" s="65"/>
      <c r="AI44" s="445"/>
      <c r="AJ44" s="159" t="s">
        <v>1935</v>
      </c>
      <c r="AK44" s="28"/>
      <c r="AL44" s="28"/>
      <c r="AM44" s="28"/>
      <c r="AN44" s="28"/>
      <c r="AO44" s="445"/>
      <c r="AP44" s="445"/>
      <c r="AQ44" s="397" t="s">
        <v>133</v>
      </c>
      <c r="AR44" s="65">
        <v>6825</v>
      </c>
      <c r="AS44" s="65">
        <v>11690</v>
      </c>
      <c r="AT44" s="65">
        <v>14510</v>
      </c>
      <c r="AU44" s="65">
        <v>15875</v>
      </c>
      <c r="AV44" s="490">
        <v>16356</v>
      </c>
      <c r="AW44" s="490">
        <v>16209</v>
      </c>
      <c r="AX44" s="496">
        <v>15606</v>
      </c>
      <c r="BA44" s="487" t="s">
        <v>746</v>
      </c>
      <c r="BB44" s="65">
        <v>500000</v>
      </c>
      <c r="BC44" s="552" t="s">
        <v>738</v>
      </c>
      <c r="BD44" s="445" t="s">
        <v>42</v>
      </c>
      <c r="BE44" s="445">
        <v>1.2</v>
      </c>
      <c r="BF44" s="445"/>
      <c r="BG44" s="445"/>
      <c r="BH44" s="445"/>
      <c r="BI44" s="445"/>
      <c r="BJ44" s="445"/>
      <c r="BK44" s="445"/>
      <c r="BL44" s="459"/>
    </row>
    <row r="45" spans="1:64" ht="16.5" thickTop="1" thickBot="1" x14ac:dyDescent="0.3">
      <c r="A45" s="3" t="s">
        <v>19</v>
      </c>
      <c r="B45" s="167" t="s">
        <v>19</v>
      </c>
      <c r="C45" s="885">
        <v>257.62714799999998</v>
      </c>
      <c r="D45" s="885">
        <v>254.02398199999999</v>
      </c>
      <c r="E45" s="885">
        <v>261.16594900000001</v>
      </c>
      <c r="F45" s="885">
        <v>258.23328299999997</v>
      </c>
      <c r="G45" s="885">
        <v>261.53869600000002</v>
      </c>
      <c r="H45" s="885">
        <v>263.710172</v>
      </c>
      <c r="I45" s="885">
        <v>255.001555</v>
      </c>
      <c r="J45" s="885">
        <v>256.04532</v>
      </c>
      <c r="K45" s="885">
        <v>250.38401999999999</v>
      </c>
      <c r="L45" s="885">
        <v>255.37239099999999</v>
      </c>
      <c r="M45" s="885">
        <v>254.084461</v>
      </c>
      <c r="N45" s="885">
        <v>245.61456000000001</v>
      </c>
      <c r="O45" s="885">
        <v>227.094289</v>
      </c>
      <c r="P45" s="885">
        <v>236.21428800000001</v>
      </c>
      <c r="Q45" s="885">
        <v>224.88364200000001</v>
      </c>
      <c r="R45" s="885">
        <v>222.895231</v>
      </c>
      <c r="S45" s="885">
        <v>218.58794399999999</v>
      </c>
      <c r="T45" s="885">
        <v>209.22973300000001</v>
      </c>
      <c r="U45" s="885">
        <v>205.93405200000001</v>
      </c>
      <c r="V45" s="885">
        <v>204.62799999999999</v>
      </c>
      <c r="W45" s="885">
        <v>155.41482400000001</v>
      </c>
      <c r="X45" s="4">
        <f>SUM(X46:X50)</f>
        <v>143.287462</v>
      </c>
      <c r="AC45" s="487" t="s">
        <v>3985</v>
      </c>
      <c r="AD45" s="65">
        <v>174897</v>
      </c>
      <c r="AE45" s="114">
        <f t="shared" ref="AE45:AE51" si="7">AD45/$AD$52</f>
        <v>0.10763581176887628</v>
      </c>
      <c r="AF45" s="114">
        <f>AD45/SUM($AD$45:$AD$50)</f>
        <v>0.64368048757149066</v>
      </c>
      <c r="AG45" s="65">
        <f>AVERAGEIF('Autonomie 2023 MHDV'!F:F, "=2", 'Autonomie 2023 MHDV'!I:I)</f>
        <v>840</v>
      </c>
      <c r="AH45" s="65"/>
      <c r="AI45" s="445"/>
      <c r="AJ45" s="88" t="s">
        <v>1326</v>
      </c>
      <c r="AK45" s="88" t="s">
        <v>1938</v>
      </c>
      <c r="AL45" s="88" t="s">
        <v>1939</v>
      </c>
      <c r="AM45" s="445"/>
      <c r="AN45" s="445"/>
      <c r="AO45" s="445"/>
      <c r="AP45" s="445"/>
      <c r="AQ45" s="397" t="s">
        <v>698</v>
      </c>
      <c r="AR45" s="65">
        <v>18</v>
      </c>
      <c r="AS45" s="65">
        <v>14</v>
      </c>
      <c r="AT45" s="65">
        <v>13</v>
      </c>
      <c r="AU45" s="65">
        <v>14</v>
      </c>
      <c r="AV45" s="65">
        <v>14</v>
      </c>
      <c r="AW45" s="65">
        <v>9</v>
      </c>
      <c r="AX45" s="494">
        <v>7</v>
      </c>
      <c r="BA45" s="487" t="s">
        <v>750</v>
      </c>
      <c r="BB45" s="65">
        <v>1000000</v>
      </c>
      <c r="BC45" s="548" t="s">
        <v>735</v>
      </c>
      <c r="BD45" s="445" t="s">
        <v>243</v>
      </c>
      <c r="BE45" s="445">
        <v>7.5</v>
      </c>
      <c r="BF45" s="445"/>
      <c r="BG45" s="445"/>
      <c r="BH45" s="445"/>
      <c r="BI45" s="445"/>
      <c r="BJ45" s="445"/>
      <c r="BK45" s="445"/>
      <c r="BL45" s="459"/>
    </row>
    <row r="46" spans="1:64" ht="15.75" thickTop="1" x14ac:dyDescent="0.25">
      <c r="A46" s="3" t="s">
        <v>4526</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7" t="s">
        <v>3986</v>
      </c>
      <c r="AD46" s="65">
        <v>16033</v>
      </c>
      <c r="AE46" s="114">
        <f t="shared" si="7"/>
        <v>9.8670930324156123E-3</v>
      </c>
      <c r="AF46" s="114">
        <f t="shared" ref="AF46:AF50" si="8">AD46/SUM($AD$45:$AD$50)</f>
        <v>5.9006896957830658E-2</v>
      </c>
      <c r="AG46" s="65">
        <f>AVERAGEIF('Autonomie 2023 MHDV'!F:F, "=3", 'Autonomie 2023 MHDV'!I:I)</f>
        <v>1080</v>
      </c>
      <c r="AH46" s="65"/>
      <c r="AI46" s="445"/>
      <c r="AJ46" s="28" t="s">
        <v>1469</v>
      </c>
      <c r="AK46" s="47">
        <f>SUM(AK47:AK51)</f>
        <v>20954</v>
      </c>
      <c r="AL46" s="114"/>
      <c r="AM46" s="445"/>
      <c r="AN46" s="445"/>
      <c r="AO46" s="445"/>
      <c r="AP46" s="445"/>
      <c r="AQ46" s="249" t="s">
        <v>699</v>
      </c>
      <c r="AR46" s="479">
        <v>2540480</v>
      </c>
      <c r="AS46" s="479">
        <v>2751874</v>
      </c>
      <c r="AT46" s="479">
        <v>2962955</v>
      </c>
      <c r="AU46" s="479">
        <v>3188628</v>
      </c>
      <c r="AV46" s="479">
        <v>3357593</v>
      </c>
      <c r="AW46" s="502">
        <v>3323486</v>
      </c>
      <c r="AX46" s="493">
        <v>3335576</v>
      </c>
      <c r="BA46" s="487"/>
      <c r="BB46" s="445"/>
      <c r="BC46" s="445"/>
      <c r="BD46" s="445" t="s">
        <v>590</v>
      </c>
      <c r="BE46" s="445">
        <v>120.4</v>
      </c>
      <c r="BF46" s="445"/>
      <c r="BG46" s="445"/>
      <c r="BH46" s="445"/>
      <c r="BI46" s="445"/>
      <c r="BJ46" s="445"/>
      <c r="BK46" s="445"/>
      <c r="BL46" s="459"/>
    </row>
    <row r="47" spans="1:64" ht="15.75" x14ac:dyDescent="0.25">
      <c r="A47" s="3" t="s">
        <v>4527</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7" t="s">
        <v>3987</v>
      </c>
      <c r="AD47" s="65">
        <v>12646</v>
      </c>
      <c r="AE47" s="114">
        <f t="shared" si="7"/>
        <v>7.7826519358777423E-3</v>
      </c>
      <c r="AF47" s="114">
        <f t="shared" si="8"/>
        <v>4.6541584165703642E-2</v>
      </c>
      <c r="AG47" s="65">
        <f>AVERAGEIF('Autonomie 2023 MHDV'!F:F, "=4", 'Autonomie 2023 MHDV'!I:I)</f>
        <v>1650</v>
      </c>
      <c r="AH47" s="65"/>
      <c r="AI47" s="445"/>
      <c r="AJ47" s="17" t="s">
        <v>1463</v>
      </c>
      <c r="AK47" s="65">
        <v>7134</v>
      </c>
      <c r="AL47" s="114">
        <f>AK47/$AK$46</f>
        <v>0.34046005535935858</v>
      </c>
      <c r="AM47" s="445"/>
      <c r="AN47" s="445"/>
      <c r="AO47" s="445"/>
      <c r="AP47" s="445"/>
      <c r="AQ47" s="397" t="s">
        <v>108</v>
      </c>
      <c r="AR47" s="65">
        <v>2477402</v>
      </c>
      <c r="AS47" s="65">
        <v>2682444</v>
      </c>
      <c r="AT47" s="65">
        <v>2886404</v>
      </c>
      <c r="AU47" s="65">
        <v>3101544</v>
      </c>
      <c r="AV47" s="65">
        <v>3248629</v>
      </c>
      <c r="AW47" s="65">
        <v>3189890</v>
      </c>
      <c r="AX47" s="496">
        <v>3156680</v>
      </c>
      <c r="BA47" s="468" t="s">
        <v>739</v>
      </c>
      <c r="BB47" s="445"/>
      <c r="BC47" s="445"/>
      <c r="BD47" s="445" t="s">
        <v>591</v>
      </c>
      <c r="BE47" s="445">
        <v>23.2</v>
      </c>
      <c r="BF47" s="445"/>
      <c r="BG47" s="445"/>
      <c r="BH47" s="445"/>
      <c r="BI47" s="445"/>
      <c r="BJ47" s="445"/>
      <c r="BK47" s="445"/>
      <c r="BL47" s="459"/>
    </row>
    <row r="48" spans="1:64" ht="15.75" thickBot="1" x14ac:dyDescent="0.3">
      <c r="A48" s="3" t="s">
        <v>4528</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7" t="s">
        <v>3988</v>
      </c>
      <c r="AD48" s="65">
        <v>7758</v>
      </c>
      <c r="AE48" s="114">
        <f t="shared" si="7"/>
        <v>4.7744594115561858E-3</v>
      </c>
      <c r="AF48" s="114">
        <f t="shared" si="8"/>
        <v>2.8552080496404307E-2</v>
      </c>
      <c r="AG48" s="65">
        <f>AVERAGEIF('Autonomie 2023 MHDV'!F:F, "=5", 'Autonomie 2023 MHDV'!I:I)</f>
        <v>1980</v>
      </c>
      <c r="AH48" s="65"/>
      <c r="AI48" s="445"/>
      <c r="AJ48" s="17" t="s">
        <v>1464</v>
      </c>
      <c r="AK48" s="65">
        <v>1785</v>
      </c>
      <c r="AL48" s="114">
        <f>AK48/$AK$46</f>
        <v>8.5186599217333209E-2</v>
      </c>
      <c r="AM48" s="445"/>
      <c r="AN48" s="445"/>
      <c r="AO48" s="445"/>
      <c r="AP48" s="445"/>
      <c r="AQ48" s="397" t="s">
        <v>107</v>
      </c>
      <c r="AR48" s="65">
        <v>46257</v>
      </c>
      <c r="AS48" s="65">
        <v>46886</v>
      </c>
      <c r="AT48" s="65">
        <v>46699</v>
      </c>
      <c r="AU48" s="65">
        <v>47037</v>
      </c>
      <c r="AV48" s="65">
        <v>45576</v>
      </c>
      <c r="AW48" s="65">
        <v>40367</v>
      </c>
      <c r="AX48" s="496">
        <v>35812</v>
      </c>
      <c r="BA48" s="483" t="s">
        <v>123</v>
      </c>
      <c r="BB48" s="21" t="s">
        <v>743</v>
      </c>
      <c r="BC48" s="21" t="s">
        <v>122</v>
      </c>
      <c r="BD48" s="445" t="s">
        <v>592</v>
      </c>
      <c r="BE48" s="445">
        <v>23.6</v>
      </c>
      <c r="BF48" s="445"/>
      <c r="BG48" s="445"/>
      <c r="BH48" s="445"/>
      <c r="BI48" s="445"/>
      <c r="BJ48" s="445"/>
      <c r="BK48" s="445"/>
      <c r="BL48" s="459"/>
    </row>
    <row r="49" spans="1:64" ht="15.75" thickTop="1" x14ac:dyDescent="0.25">
      <c r="A49" s="3" t="s">
        <v>4529</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7" t="s">
        <v>3989</v>
      </c>
      <c r="AD49" s="65">
        <v>54578</v>
      </c>
      <c r="AE49" s="114">
        <f t="shared" si="7"/>
        <v>3.3588611209578949E-2</v>
      </c>
      <c r="AF49" s="114">
        <f t="shared" si="8"/>
        <v>0.20086561605217251</v>
      </c>
      <c r="AG49" s="65">
        <f>AVERAGEIF('Autonomie 2023 MHDV'!F:F, "=6", 'Autonomie 2023 MHDV'!I:I)</f>
        <v>2600</v>
      </c>
      <c r="AH49" s="65"/>
      <c r="AI49" s="445"/>
      <c r="AJ49" s="17" t="s">
        <v>1465</v>
      </c>
      <c r="AK49" s="65">
        <v>6276</v>
      </c>
      <c r="AL49" s="114">
        <f>AK49/$AK$46</f>
        <v>0.29951321943304382</v>
      </c>
      <c r="AM49" s="445"/>
      <c r="AN49" s="445"/>
      <c r="AO49" s="445"/>
      <c r="AP49" s="445"/>
      <c r="AQ49" s="397" t="s">
        <v>131</v>
      </c>
      <c r="AR49" s="65">
        <v>1039</v>
      </c>
      <c r="AS49" s="65">
        <v>2026</v>
      </c>
      <c r="AT49" s="65">
        <v>3010</v>
      </c>
      <c r="AU49" s="65">
        <v>4704</v>
      </c>
      <c r="AV49" s="490">
        <v>10564</v>
      </c>
      <c r="AW49" s="490">
        <v>21373</v>
      </c>
      <c r="AX49" s="496">
        <v>41019</v>
      </c>
      <c r="BA49" s="487" t="s">
        <v>740</v>
      </c>
      <c r="BB49" s="65">
        <f>17071*km_mile</f>
        <v>27473.043140000002</v>
      </c>
      <c r="BC49" s="548" t="s">
        <v>742</v>
      </c>
      <c r="BD49" s="445" t="s">
        <v>593</v>
      </c>
      <c r="BE49" s="445">
        <v>33.9</v>
      </c>
      <c r="BF49" s="445"/>
      <c r="BG49" s="445"/>
      <c r="BH49" s="445"/>
      <c r="BI49" s="445"/>
      <c r="BJ49" s="445"/>
      <c r="BK49" s="445"/>
      <c r="BL49" s="459"/>
    </row>
    <row r="50" spans="1:64" x14ac:dyDescent="0.25">
      <c r="A50" s="3" t="s">
        <v>4530</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7" t="s">
        <v>3990</v>
      </c>
      <c r="AD50" s="65">
        <v>5802</v>
      </c>
      <c r="AE50" s="114">
        <f t="shared" si="7"/>
        <v>3.5706900626255463E-3</v>
      </c>
      <c r="AF50" s="114">
        <f t="shared" si="8"/>
        <v>2.1353334756398272E-2</v>
      </c>
      <c r="AG50" s="65">
        <f>AVERAGEIF('Autonomie 2023 MHDV'!F:F, "=7", 'Autonomie 2023 MHDV'!I:I)</f>
        <v>3976</v>
      </c>
      <c r="AH50" s="65"/>
      <c r="AI50" s="445"/>
      <c r="AJ50" s="17" t="s">
        <v>1466</v>
      </c>
      <c r="AK50" s="65">
        <v>858</v>
      </c>
      <c r="AL50" s="114">
        <f>AK50/$AK$46</f>
        <v>4.0946835926314783E-2</v>
      </c>
      <c r="AM50" s="445"/>
      <c r="AN50" s="445"/>
      <c r="AO50" s="445"/>
      <c r="AP50" s="445"/>
      <c r="AQ50" s="397" t="s">
        <v>132</v>
      </c>
      <c r="AR50" s="65">
        <v>15062</v>
      </c>
      <c r="AS50" s="65">
        <v>18550</v>
      </c>
      <c r="AT50" s="65">
        <v>23481</v>
      </c>
      <c r="AU50" s="65">
        <v>30997</v>
      </c>
      <c r="AV50" s="65">
        <v>46344</v>
      </c>
      <c r="AW50" s="65">
        <v>62042</v>
      </c>
      <c r="AX50" s="496">
        <v>87100</v>
      </c>
      <c r="BA50" s="487" t="s">
        <v>741</v>
      </c>
      <c r="BB50" s="65">
        <f>18074*km_mile</f>
        <v>29087.211159999999</v>
      </c>
      <c r="BC50" s="548" t="s">
        <v>742</v>
      </c>
      <c r="BD50" s="445"/>
      <c r="BE50" s="445"/>
      <c r="BF50" s="445"/>
      <c r="BG50" s="445"/>
      <c r="BH50" s="445"/>
      <c r="BI50" s="445"/>
      <c r="BJ50" s="445"/>
      <c r="BK50" s="445"/>
      <c r="BL50" s="459"/>
    </row>
    <row r="51" spans="1:64" ht="14.45" customHeight="1" x14ac:dyDescent="0.25">
      <c r="A51" s="3" t="s">
        <v>32</v>
      </c>
      <c r="B51" s="895" t="s">
        <v>32</v>
      </c>
      <c r="C51" s="896">
        <v>131.740621</v>
      </c>
      <c r="D51" s="896">
        <v>132.63926699999999</v>
      </c>
      <c r="E51" s="896">
        <v>141.34574599999999</v>
      </c>
      <c r="F51" s="896">
        <v>146.20509300000001</v>
      </c>
      <c r="G51" s="896">
        <v>154.545828</v>
      </c>
      <c r="H51" s="896">
        <v>163.04723000000001</v>
      </c>
      <c r="I51" s="896">
        <v>161.75552400000001</v>
      </c>
      <c r="J51" s="896">
        <v>167.04442599999999</v>
      </c>
      <c r="K51" s="896">
        <v>168.04008400000001</v>
      </c>
      <c r="L51" s="896">
        <v>177.52313100000001</v>
      </c>
      <c r="M51" s="896">
        <v>185.44838799999999</v>
      </c>
      <c r="N51" s="896">
        <v>188.46460999999999</v>
      </c>
      <c r="O51" s="896">
        <v>178.908143</v>
      </c>
      <c r="P51" s="896">
        <v>194.624728</v>
      </c>
      <c r="Q51" s="896">
        <v>193.26077799999999</v>
      </c>
      <c r="R51" s="896">
        <v>201.10341199999999</v>
      </c>
      <c r="S51" s="896">
        <v>212.82844600000001</v>
      </c>
      <c r="T51" s="896">
        <v>217.63271800000001</v>
      </c>
      <c r="U51" s="896">
        <v>230.301592</v>
      </c>
      <c r="V51" s="896">
        <v>240.92600999999999</v>
      </c>
      <c r="W51" s="896">
        <v>196.402682</v>
      </c>
      <c r="X51" s="5">
        <f>SUM(X52:X55)</f>
        <v>190.20427100000001</v>
      </c>
      <c r="AC51" s="487" t="s">
        <v>4005</v>
      </c>
      <c r="AD51" s="65">
        <v>156943</v>
      </c>
      <c r="AE51" s="114">
        <f t="shared" si="7"/>
        <v>9.6586489227618255E-2</v>
      </c>
      <c r="AF51" s="114"/>
      <c r="AG51" s="65"/>
      <c r="AH51" s="65"/>
      <c r="AI51" s="445"/>
      <c r="AJ51" s="17" t="s">
        <v>1467</v>
      </c>
      <c r="AK51" s="65">
        <v>4901</v>
      </c>
      <c r="AL51" s="114">
        <f>AK51/$AK$46</f>
        <v>0.2338932900639496</v>
      </c>
      <c r="AM51" s="445"/>
      <c r="AN51" s="445"/>
      <c r="AO51" s="445"/>
      <c r="AP51" s="445"/>
      <c r="AQ51" s="397" t="s">
        <v>133</v>
      </c>
      <c r="AR51" s="65">
        <v>716</v>
      </c>
      <c r="AS51" s="65">
        <v>1964</v>
      </c>
      <c r="AT51" s="65">
        <v>3358</v>
      </c>
      <c r="AU51" s="65">
        <v>4342</v>
      </c>
      <c r="AV51" s="490">
        <v>6475</v>
      </c>
      <c r="AW51" s="490">
        <v>9810</v>
      </c>
      <c r="AX51" s="496">
        <v>14962</v>
      </c>
      <c r="BA51" s="487" t="s">
        <v>744</v>
      </c>
      <c r="BB51" s="65">
        <f>19419*km_mile</f>
        <v>31251.77346</v>
      </c>
      <c r="BC51" s="548" t="s">
        <v>742</v>
      </c>
      <c r="BD51" s="445"/>
      <c r="BE51" s="445"/>
      <c r="BF51" s="445"/>
      <c r="BG51" s="445"/>
      <c r="BH51" s="445"/>
      <c r="BI51" s="445"/>
      <c r="BJ51" s="445"/>
      <c r="BK51" s="445"/>
      <c r="BL51" s="459"/>
    </row>
    <row r="52" spans="1:64" ht="15.75" thickBot="1" x14ac:dyDescent="0.3">
      <c r="A52" s="3" t="s">
        <v>4531</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5" t="s">
        <v>248</v>
      </c>
      <c r="AD52" s="267">
        <f>SUM(AD44:AD51)</f>
        <v>1624896</v>
      </c>
      <c r="AE52" s="290">
        <f>SUM(AE44:AE51)</f>
        <v>1</v>
      </c>
      <c r="AF52" s="290">
        <f>SUM(AF44:AF51)</f>
        <v>1.0000000000000002</v>
      </c>
      <c r="AG52" s="986"/>
      <c r="AH52" s="65"/>
      <c r="AI52" s="445"/>
      <c r="AJ52" s="28" t="s">
        <v>1468</v>
      </c>
      <c r="AK52" s="479">
        <v>24599</v>
      </c>
      <c r="AL52"/>
      <c r="AM52" s="445"/>
      <c r="AN52" s="445"/>
      <c r="AO52" s="445"/>
      <c r="AP52" s="445"/>
      <c r="AQ52" s="397" t="s">
        <v>698</v>
      </c>
      <c r="AR52" s="65">
        <v>4</v>
      </c>
      <c r="AS52" s="65">
        <v>4</v>
      </c>
      <c r="AT52" s="65">
        <v>3</v>
      </c>
      <c r="AU52" s="65">
        <v>4</v>
      </c>
      <c r="AV52" s="65">
        <v>5</v>
      </c>
      <c r="AW52" s="65">
        <v>4</v>
      </c>
      <c r="AX52" s="494">
        <v>3</v>
      </c>
      <c r="BA52" s="487" t="s">
        <v>747</v>
      </c>
      <c r="BB52" s="65">
        <f>27375*km_mile</f>
        <v>44055.682500000003</v>
      </c>
      <c r="BC52" s="548" t="s">
        <v>742</v>
      </c>
      <c r="BD52" s="445"/>
      <c r="BE52" s="445"/>
      <c r="BF52" s="445"/>
      <c r="BG52" s="445"/>
      <c r="BH52" s="445"/>
      <c r="BI52" s="445"/>
      <c r="BJ52" s="445"/>
      <c r="BK52" s="445"/>
      <c r="BL52" s="459"/>
    </row>
    <row r="53" spans="1:64" x14ac:dyDescent="0.25">
      <c r="A53" s="3" t="s">
        <v>4532</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7"/>
      <c r="AD53" s="65"/>
      <c r="AE53" s="65"/>
      <c r="AF53" s="987" t="s">
        <v>4778</v>
      </c>
      <c r="AG53" s="988">
        <f>SUMPRODUCT(AF45:AF49,AG45:AG49)/SUM(AF45:AF49)</f>
        <v>1287.4885676464389</v>
      </c>
      <c r="AH53" s="65"/>
      <c r="AI53" s="65"/>
      <c r="AJ53" s="65"/>
      <c r="AK53" s="65"/>
      <c r="AL53" s="65"/>
      <c r="AM53" s="65"/>
      <c r="AN53" s="65"/>
      <c r="AO53" s="445"/>
      <c r="AP53" s="114">
        <f>AP56/AL56 - 1</f>
        <v>4.083882336016579</v>
      </c>
      <c r="AQ53" s="249" t="s">
        <v>700</v>
      </c>
      <c r="AR53" s="479">
        <v>1080299</v>
      </c>
      <c r="AS53" s="479">
        <v>1108894</v>
      </c>
      <c r="AT53" s="479">
        <v>1134218</v>
      </c>
      <c r="AU53" s="479">
        <v>1193649</v>
      </c>
      <c r="AV53" s="479">
        <v>1233125</v>
      </c>
      <c r="AW53" s="502">
        <v>1146178</v>
      </c>
      <c r="AX53" s="493">
        <v>1118047</v>
      </c>
      <c r="BA53" s="487" t="s">
        <v>745</v>
      </c>
      <c r="BB53" s="65">
        <f>45000*km_mile</f>
        <v>72420.3</v>
      </c>
      <c r="BC53" s="548" t="s">
        <v>742</v>
      </c>
      <c r="BD53" s="445"/>
      <c r="BE53" s="445"/>
      <c r="BF53" s="445"/>
      <c r="BG53" s="445"/>
      <c r="BH53" s="445"/>
      <c r="BI53" s="445"/>
      <c r="BJ53" s="445"/>
      <c r="BK53" s="445"/>
      <c r="BL53" s="459"/>
    </row>
    <row r="54" spans="1:64" x14ac:dyDescent="0.25">
      <c r="A54" s="3" t="s">
        <v>4533</v>
      </c>
      <c r="B54" s="182" t="s">
        <v>23</v>
      </c>
      <c r="C54" s="897"/>
      <c r="D54" s="897"/>
      <c r="E54" s="897"/>
      <c r="F54" s="897"/>
      <c r="G54" s="897"/>
      <c r="H54" s="897"/>
      <c r="I54" s="897"/>
      <c r="J54" s="898">
        <v>5.9907789999999999</v>
      </c>
      <c r="K54" s="898">
        <v>7.3934879999999996</v>
      </c>
      <c r="L54" s="898">
        <v>7.5619189999999996</v>
      </c>
      <c r="M54" s="898">
        <v>8.4017649999999993</v>
      </c>
      <c r="N54" s="898">
        <v>9.7676660000000002</v>
      </c>
      <c r="O54" s="898">
        <v>10.003358</v>
      </c>
      <c r="P54" s="898">
        <v>10.384086999999999</v>
      </c>
      <c r="Q54" s="898">
        <v>10.957284</v>
      </c>
      <c r="R54" s="897"/>
      <c r="S54" s="897"/>
      <c r="T54" s="897"/>
      <c r="U54" s="897"/>
      <c r="V54" s="897"/>
      <c r="W54" s="897"/>
      <c r="AC54" s="487"/>
      <c r="AD54" s="65"/>
      <c r="AE54" s="65"/>
      <c r="AF54" s="521" t="s">
        <v>4779</v>
      </c>
      <c r="AG54" s="494">
        <f>SUMPRODUCT(AF45:AF50,AG45:AG50)</f>
        <v>1344.8972522578886</v>
      </c>
      <c r="AH54" s="65"/>
      <c r="AI54" s="65"/>
      <c r="AJ54" s="65"/>
      <c r="AK54" s="65"/>
      <c r="AL54" s="65"/>
      <c r="AM54" s="65"/>
      <c r="AN54" s="65"/>
      <c r="AO54" s="445"/>
      <c r="AP54" s="445"/>
      <c r="AQ54" s="397" t="s">
        <v>108</v>
      </c>
      <c r="AR54" s="65">
        <v>996561</v>
      </c>
      <c r="AS54" s="65">
        <v>1021331</v>
      </c>
      <c r="AT54" s="65">
        <v>1043568</v>
      </c>
      <c r="AU54" s="65">
        <v>1098876</v>
      </c>
      <c r="AV54" s="65">
        <v>1134373</v>
      </c>
      <c r="AW54" s="65">
        <v>1052807</v>
      </c>
      <c r="AX54" s="496">
        <v>1024301</v>
      </c>
      <c r="BA54" s="487" t="s">
        <v>748</v>
      </c>
      <c r="BB54" s="65">
        <f>105907*km_mile</f>
        <v>170440.37138</v>
      </c>
      <c r="BC54" s="548" t="s">
        <v>742</v>
      </c>
      <c r="BD54" s="445"/>
      <c r="BE54" s="445"/>
      <c r="BF54" s="445"/>
      <c r="BG54" s="445"/>
      <c r="BH54" s="445"/>
      <c r="BI54" s="445"/>
      <c r="BJ54" s="445"/>
      <c r="BK54" s="445"/>
      <c r="BL54" s="459"/>
    </row>
    <row r="55" spans="1:64" ht="15.75" thickBot="1" x14ac:dyDescent="0.3">
      <c r="A55" s="3" t="s">
        <v>4534</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7"/>
      <c r="AD55" s="65"/>
      <c r="AE55" s="65"/>
      <c r="AF55" s="989" t="s">
        <v>4780</v>
      </c>
      <c r="AG55" s="411">
        <f>AG54/AG53</f>
        <v>1.044589665534968</v>
      </c>
      <c r="AH55" s="65"/>
      <c r="AI55" s="65"/>
      <c r="AJ55" s="65"/>
      <c r="AK55" s="65" t="s">
        <v>1690</v>
      </c>
      <c r="AL55" s="114">
        <f>AL60/AL59</f>
        <v>0.94780040674355182</v>
      </c>
      <c r="AM55" s="65"/>
      <c r="AN55" s="65"/>
      <c r="AO55" s="40"/>
      <c r="AP55" s="114">
        <f>AP60/AP59</f>
        <v>0.80109535140308663</v>
      </c>
      <c r="AQ55" s="397" t="s">
        <v>107</v>
      </c>
      <c r="AR55" s="65">
        <v>83392</v>
      </c>
      <c r="AS55" s="65">
        <v>87237</v>
      </c>
      <c r="AT55" s="65">
        <v>90345</v>
      </c>
      <c r="AU55" s="65">
        <v>94478</v>
      </c>
      <c r="AV55" s="65">
        <v>97403</v>
      </c>
      <c r="AW55" s="65">
        <v>88882</v>
      </c>
      <c r="AX55" s="496">
        <v>84327</v>
      </c>
      <c r="BA55" s="487"/>
      <c r="BB55" s="445"/>
      <c r="BC55" s="445"/>
      <c r="BD55" s="445"/>
      <c r="BE55" s="445"/>
      <c r="BF55" s="445"/>
      <c r="BG55" s="445"/>
      <c r="BH55" s="445"/>
      <c r="BI55" s="445"/>
      <c r="BJ55" s="445"/>
      <c r="BK55" s="445"/>
      <c r="BL55" s="459"/>
    </row>
    <row r="56" spans="1:64" ht="15.75" x14ac:dyDescent="0.25">
      <c r="A56" s="3" t="s">
        <v>33</v>
      </c>
      <c r="B56" s="167" t="s">
        <v>33</v>
      </c>
      <c r="C56" s="885">
        <v>44.619221000000003</v>
      </c>
      <c r="D56" s="885">
        <v>45.121087000000003</v>
      </c>
      <c r="E56" s="885">
        <v>46.980967999999997</v>
      </c>
      <c r="F56" s="885">
        <v>48.675887000000003</v>
      </c>
      <c r="G56" s="885">
        <v>51.590581</v>
      </c>
      <c r="H56" s="885">
        <v>54.148837999999998</v>
      </c>
      <c r="I56" s="885">
        <v>54.959693999999999</v>
      </c>
      <c r="J56" s="885">
        <v>57.010691000000001</v>
      </c>
      <c r="K56" s="885">
        <v>57.534592000000004</v>
      </c>
      <c r="L56" s="885">
        <v>60.215943000000003</v>
      </c>
      <c r="M56" s="885">
        <v>63.037810999999998</v>
      </c>
      <c r="N56" s="885">
        <v>64.501828000000003</v>
      </c>
      <c r="O56" s="885">
        <v>61.90869</v>
      </c>
      <c r="P56" s="885">
        <v>66.094403</v>
      </c>
      <c r="Q56" s="885">
        <v>65.468821000000005</v>
      </c>
      <c r="R56" s="885">
        <v>68.004728999999998</v>
      </c>
      <c r="S56" s="885">
        <v>72.555899999999994</v>
      </c>
      <c r="T56" s="885">
        <v>74.044694000000007</v>
      </c>
      <c r="U56" s="885">
        <v>77.282589999999999</v>
      </c>
      <c r="V56" s="885">
        <v>80.682991999999999</v>
      </c>
      <c r="W56" s="885">
        <v>66.181672000000006</v>
      </c>
      <c r="X56" s="4">
        <f>SUM(X57:X61)</f>
        <v>64.812072999999998</v>
      </c>
      <c r="AC56" s="487"/>
      <c r="AD56" s="445"/>
      <c r="AE56" s="445"/>
      <c r="AF56" s="445"/>
      <c r="AG56" s="445"/>
      <c r="AH56" s="445"/>
      <c r="AI56" s="445"/>
      <c r="AJ56" s="445"/>
      <c r="AK56" s="445" t="s">
        <v>4279</v>
      </c>
      <c r="AL56" s="114">
        <f>AL63/AL59</f>
        <v>1.8169051061515253E-2</v>
      </c>
      <c r="AM56" s="445"/>
      <c r="AN56" s="445"/>
      <c r="AO56" s="445"/>
      <c r="AP56" s="114">
        <f>AP63/AP59</f>
        <v>9.2369317753820665E-2</v>
      </c>
      <c r="AQ56" s="397" t="s">
        <v>131</v>
      </c>
      <c r="AR56" s="65">
        <v>2</v>
      </c>
      <c r="AS56" s="65">
        <v>2</v>
      </c>
      <c r="AT56" s="65">
        <v>4</v>
      </c>
      <c r="AU56" s="65">
        <v>4</v>
      </c>
      <c r="AV56" s="490">
        <v>3</v>
      </c>
      <c r="AW56" s="490">
        <v>247</v>
      </c>
      <c r="AX56" s="496">
        <v>1473</v>
      </c>
      <c r="BA56" s="512" t="s">
        <v>2002</v>
      </c>
      <c r="BB56" s="445"/>
      <c r="BC56" s="445"/>
      <c r="BD56" s="445"/>
      <c r="BE56" s="445"/>
      <c r="BF56" s="445"/>
      <c r="BG56" s="445"/>
      <c r="BH56" s="445"/>
      <c r="BI56" s="445"/>
      <c r="BJ56" s="445"/>
      <c r="BK56" s="445"/>
      <c r="BL56" s="459"/>
    </row>
    <row r="57" spans="1:64" ht="16.5" thickBot="1" x14ac:dyDescent="0.3">
      <c r="A57" s="3" t="s">
        <v>4535</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2" t="s">
        <v>721</v>
      </c>
      <c r="AD57" s="373"/>
      <c r="AE57" s="373"/>
      <c r="AF57" s="373"/>
      <c r="AG57" s="373"/>
      <c r="AH57" s="373"/>
      <c r="AI57" s="373"/>
      <c r="AJ57" s="373"/>
      <c r="AK57" s="373"/>
      <c r="AL57" s="373"/>
      <c r="AM57" s="373"/>
      <c r="AN57" s="373"/>
      <c r="AO57" s="373"/>
      <c r="AP57" s="445"/>
      <c r="AQ57" s="397" t="s">
        <v>132</v>
      </c>
      <c r="AR57" s="65">
        <v>316</v>
      </c>
      <c r="AS57" s="65">
        <v>300</v>
      </c>
      <c r="AT57" s="65">
        <v>283</v>
      </c>
      <c r="AU57" s="65">
        <v>272</v>
      </c>
      <c r="AV57" s="65">
        <v>1328</v>
      </c>
      <c r="AW57" s="65">
        <v>4230</v>
      </c>
      <c r="AX57" s="496">
        <v>7939</v>
      </c>
      <c r="BA57" s="553" t="s">
        <v>1688</v>
      </c>
      <c r="BB57" s="11">
        <v>2020</v>
      </c>
      <c r="BC57" s="11">
        <v>2025</v>
      </c>
      <c r="BD57" s="11">
        <v>2030</v>
      </c>
      <c r="BE57" s="11">
        <v>2035</v>
      </c>
      <c r="BF57" s="11">
        <v>2040</v>
      </c>
      <c r="BG57" s="11">
        <v>2045</v>
      </c>
      <c r="BH57" s="11">
        <v>2050</v>
      </c>
      <c r="BI57" s="445"/>
      <c r="BJ57" s="445"/>
      <c r="BK57" s="445"/>
      <c r="BL57" s="459"/>
    </row>
    <row r="58" spans="1:64" ht="16.5" thickTop="1" thickBot="1" x14ac:dyDescent="0.3">
      <c r="A58" s="3" t="s">
        <v>4536</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3"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7" t="s">
        <v>133</v>
      </c>
      <c r="AR58" s="65">
        <v>0</v>
      </c>
      <c r="AS58" s="65">
        <v>0</v>
      </c>
      <c r="AT58" s="65">
        <v>0</v>
      </c>
      <c r="AU58" s="65">
        <v>0</v>
      </c>
      <c r="AV58" s="490">
        <v>0</v>
      </c>
      <c r="AW58" s="490">
        <v>0</v>
      </c>
      <c r="AX58" s="496">
        <v>0</v>
      </c>
      <c r="BA58" s="539" t="s">
        <v>2001</v>
      </c>
      <c r="BB58" s="445"/>
      <c r="BC58" s="445"/>
      <c r="BD58" s="445"/>
      <c r="BE58" s="445"/>
      <c r="BF58" s="445"/>
      <c r="BG58" s="445"/>
      <c r="BH58" s="445"/>
      <c r="BI58" s="445"/>
      <c r="BJ58" s="445"/>
      <c r="BK58" s="445"/>
      <c r="BL58" s="459"/>
    </row>
    <row r="59" spans="1:64" ht="15.75" thickTop="1" x14ac:dyDescent="0.25">
      <c r="A59" s="3" t="s">
        <v>4537</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9"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7" t="s">
        <v>698</v>
      </c>
      <c r="AR59" s="65">
        <v>28</v>
      </c>
      <c r="AS59" s="65">
        <v>24</v>
      </c>
      <c r="AT59" s="65">
        <v>18</v>
      </c>
      <c r="AU59" s="65">
        <v>19</v>
      </c>
      <c r="AV59" s="65">
        <v>18</v>
      </c>
      <c r="AW59" s="65">
        <v>12</v>
      </c>
      <c r="AX59" s="494">
        <v>7</v>
      </c>
      <c r="BA59" s="381" t="s">
        <v>1592</v>
      </c>
      <c r="BB59" s="554">
        <v>5.26</v>
      </c>
      <c r="BC59" s="554">
        <v>5.57</v>
      </c>
      <c r="BD59" s="554">
        <v>5.92</v>
      </c>
      <c r="BE59" s="554">
        <v>6.31</v>
      </c>
      <c r="BF59" s="554">
        <v>6.63</v>
      </c>
      <c r="BG59" s="554">
        <v>6.98</v>
      </c>
      <c r="BH59" s="554">
        <v>7.37</v>
      </c>
      <c r="BI59" s="445"/>
      <c r="BJ59" s="445"/>
      <c r="BK59" s="445"/>
      <c r="BL59" s="459"/>
    </row>
    <row r="60" spans="1:64" x14ac:dyDescent="0.25">
      <c r="A60" s="3" t="s">
        <v>4538</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0"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9">
        <v>796260</v>
      </c>
      <c r="AS60" s="479">
        <v>769137</v>
      </c>
      <c r="AT60" s="479">
        <v>741355</v>
      </c>
      <c r="AU60" s="479">
        <v>734481</v>
      </c>
      <c r="AV60" s="479">
        <v>716959</v>
      </c>
      <c r="AW60" s="502">
        <v>636439</v>
      </c>
      <c r="AX60" s="493">
        <v>586238</v>
      </c>
      <c r="BA60" s="381" t="s">
        <v>241</v>
      </c>
      <c r="BB60" s="73">
        <v>4.78</v>
      </c>
      <c r="BC60" s="73">
        <v>5.0599999999999996</v>
      </c>
      <c r="BD60" s="554">
        <v>5.38</v>
      </c>
      <c r="BE60" s="554">
        <v>5.74</v>
      </c>
      <c r="BF60" s="554">
        <v>6.03</v>
      </c>
      <c r="BG60" s="554">
        <v>6.34</v>
      </c>
      <c r="BH60" s="554">
        <v>6.7</v>
      </c>
      <c r="BI60" s="445"/>
      <c r="BJ60" s="445"/>
      <c r="BK60" s="445"/>
      <c r="BL60" s="459"/>
    </row>
    <row r="61" spans="1:64" x14ac:dyDescent="0.25">
      <c r="A61" s="3" t="s">
        <v>4539</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0"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7" t="s">
        <v>108</v>
      </c>
      <c r="AR61" s="65">
        <v>778940</v>
      </c>
      <c r="AS61" s="65">
        <v>750275</v>
      </c>
      <c r="AT61" s="65">
        <v>721340</v>
      </c>
      <c r="AU61" s="65">
        <v>713293</v>
      </c>
      <c r="AV61" s="65">
        <v>691870</v>
      </c>
      <c r="AW61" s="65">
        <v>609683</v>
      </c>
      <c r="AX61" s="496">
        <v>558929</v>
      </c>
      <c r="BA61" s="381" t="s">
        <v>247</v>
      </c>
      <c r="BB61" s="73">
        <v>12.5</v>
      </c>
      <c r="BC61" s="73">
        <v>13.3</v>
      </c>
      <c r="BD61" s="554">
        <v>14.1</v>
      </c>
      <c r="BE61" s="554">
        <v>15</v>
      </c>
      <c r="BF61" s="554">
        <v>15.7</v>
      </c>
      <c r="BG61" s="554">
        <v>16.5</v>
      </c>
      <c r="BH61" s="554">
        <v>17.399999999999999</v>
      </c>
      <c r="BI61" s="445"/>
      <c r="BJ61" s="445"/>
      <c r="BK61" s="445"/>
      <c r="BL61" s="459"/>
    </row>
    <row r="62" spans="1:64" x14ac:dyDescent="0.25">
      <c r="A62" s="3" t="s">
        <v>38</v>
      </c>
      <c r="B62" s="895" t="s">
        <v>38</v>
      </c>
      <c r="C62" s="896">
        <v>57.600023</v>
      </c>
      <c r="D62" s="896">
        <v>63.318105000000003</v>
      </c>
      <c r="E62" s="896">
        <v>60.357790000000001</v>
      </c>
      <c r="F62" s="896">
        <v>70.701006000000007</v>
      </c>
      <c r="G62" s="896">
        <v>65.899384999999995</v>
      </c>
      <c r="H62" s="896">
        <v>56.416268000000002</v>
      </c>
      <c r="I62" s="896">
        <v>57.775388</v>
      </c>
      <c r="J62" s="896">
        <v>62.900883999999998</v>
      </c>
      <c r="K62" s="896">
        <v>61.814238000000003</v>
      </c>
      <c r="L62" s="896">
        <v>68.353852000000003</v>
      </c>
      <c r="M62" s="896">
        <v>72.849888000000007</v>
      </c>
      <c r="N62" s="896">
        <v>71.198786999999996</v>
      </c>
      <c r="O62" s="896">
        <v>64.439618999999993</v>
      </c>
      <c r="P62" s="896">
        <v>63.577706999999997</v>
      </c>
      <c r="Q62" s="896">
        <v>62.355649</v>
      </c>
      <c r="R62" s="896">
        <v>60.314458999999999</v>
      </c>
      <c r="S62" s="896">
        <v>58.570433000000001</v>
      </c>
      <c r="T62" s="896">
        <v>59.871338999999999</v>
      </c>
      <c r="U62" s="896">
        <v>63.984453999999999</v>
      </c>
      <c r="V62" s="896">
        <v>63.404946000000002</v>
      </c>
      <c r="W62" s="896">
        <v>52.194729000000002</v>
      </c>
      <c r="X62" s="5">
        <f>SUM(X63:X65)</f>
        <v>55.976551999999998</v>
      </c>
      <c r="AC62" s="500"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7" t="s">
        <v>107</v>
      </c>
      <c r="AR62" s="65">
        <v>17092</v>
      </c>
      <c r="AS62" s="65">
        <v>17790</v>
      </c>
      <c r="AT62" s="65">
        <v>18536</v>
      </c>
      <c r="AU62" s="65">
        <v>19565</v>
      </c>
      <c r="AV62" s="65">
        <v>20793</v>
      </c>
      <c r="AW62" s="65">
        <v>19222</v>
      </c>
      <c r="AX62" s="496">
        <v>18361</v>
      </c>
      <c r="BA62" s="381" t="s">
        <v>567</v>
      </c>
      <c r="BB62" s="73">
        <v>7.81</v>
      </c>
      <c r="BC62" s="554">
        <v>8.3699999999999992</v>
      </c>
      <c r="BD62" s="554">
        <v>9.0299999999999994</v>
      </c>
      <c r="BE62" s="554">
        <v>9.7899999999999991</v>
      </c>
      <c r="BF62" s="554">
        <v>10.4</v>
      </c>
      <c r="BG62" s="554">
        <v>11.1</v>
      </c>
      <c r="BH62" s="554">
        <v>11.8</v>
      </c>
      <c r="BI62" s="445"/>
      <c r="BJ62" s="445"/>
      <c r="BK62" s="445"/>
      <c r="BL62" s="459"/>
    </row>
    <row r="63" spans="1:64" ht="15.75" thickBot="1" x14ac:dyDescent="0.3">
      <c r="A63" s="3" t="s">
        <v>4540</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0"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7" t="s">
        <v>131</v>
      </c>
      <c r="AR63" s="65">
        <v>24</v>
      </c>
      <c r="AS63" s="65">
        <v>16</v>
      </c>
      <c r="AT63" s="65">
        <v>14</v>
      </c>
      <c r="AU63" s="65">
        <v>11</v>
      </c>
      <c r="AV63" s="490">
        <v>12</v>
      </c>
      <c r="AW63" s="490">
        <v>67</v>
      </c>
      <c r="AX63" s="496">
        <v>389</v>
      </c>
      <c r="BA63" s="539" t="s">
        <v>4016</v>
      </c>
      <c r="BB63" s="445"/>
      <c r="BC63" s="445"/>
      <c r="BD63" s="445"/>
      <c r="BE63" s="445"/>
      <c r="BF63" s="445"/>
      <c r="BG63" s="445"/>
      <c r="BH63" s="445"/>
      <c r="BI63" s="445"/>
      <c r="BJ63" s="445"/>
      <c r="BK63" s="445"/>
      <c r="BL63" s="459"/>
    </row>
    <row r="64" spans="1:64" ht="15.75" thickTop="1" x14ac:dyDescent="0.25">
      <c r="A64" s="3" t="s">
        <v>4541</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0"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7" t="s">
        <v>132</v>
      </c>
      <c r="AR64" s="65">
        <v>0</v>
      </c>
      <c r="AS64" s="65">
        <v>0</v>
      </c>
      <c r="AT64" s="65">
        <v>0</v>
      </c>
      <c r="AU64" s="65">
        <v>54</v>
      </c>
      <c r="AV64" s="65">
        <v>2584</v>
      </c>
      <c r="AW64" s="65">
        <v>5497</v>
      </c>
      <c r="AX64" s="496">
        <v>6264</v>
      </c>
      <c r="BA64" s="381" t="s">
        <v>1592</v>
      </c>
      <c r="BB64" s="554">
        <v>4.38</v>
      </c>
      <c r="BC64" s="554">
        <v>4.6399999999999997</v>
      </c>
      <c r="BD64" s="554">
        <v>4.93</v>
      </c>
      <c r="BE64" s="554">
        <v>5.26</v>
      </c>
      <c r="BF64" s="554">
        <v>5.52</v>
      </c>
      <c r="BG64" s="554">
        <v>5.82</v>
      </c>
      <c r="BH64" s="554">
        <v>6.14</v>
      </c>
      <c r="BI64" s="445"/>
      <c r="BJ64" s="445"/>
      <c r="BK64" s="445"/>
      <c r="BL64" s="459"/>
    </row>
    <row r="65" spans="1:64" x14ac:dyDescent="0.25">
      <c r="A65" s="3" t="s">
        <v>4542</v>
      </c>
      <c r="B65" s="182" t="s">
        <v>23</v>
      </c>
      <c r="C65" s="897"/>
      <c r="D65" s="897"/>
      <c r="E65" s="897"/>
      <c r="F65" s="897"/>
      <c r="G65" s="897"/>
      <c r="H65" s="897"/>
      <c r="I65" s="897"/>
      <c r="J65" s="898">
        <v>1.266113</v>
      </c>
      <c r="K65" s="898">
        <v>1.5574809999999999</v>
      </c>
      <c r="L65" s="898">
        <v>1.580854</v>
      </c>
      <c r="M65" s="898">
        <v>1.7116150000000001</v>
      </c>
      <c r="N65" s="898">
        <v>1.8497440000000001</v>
      </c>
      <c r="O65" s="898">
        <v>1.758329</v>
      </c>
      <c r="P65" s="898">
        <v>1.7425010000000001</v>
      </c>
      <c r="Q65" s="898">
        <v>1.874946</v>
      </c>
      <c r="R65" s="897"/>
      <c r="S65" s="897"/>
      <c r="T65" s="897"/>
      <c r="U65" s="897"/>
      <c r="V65" s="897"/>
      <c r="W65" s="897"/>
      <c r="AA65" s="26"/>
      <c r="AC65" s="501" t="s">
        <v>190</v>
      </c>
      <c r="AD65" s="490">
        <v>0</v>
      </c>
      <c r="AE65" s="490">
        <v>2</v>
      </c>
      <c r="AF65" s="490">
        <v>3</v>
      </c>
      <c r="AG65" s="490">
        <v>0</v>
      </c>
      <c r="AH65" s="490">
        <v>1</v>
      </c>
      <c r="AI65" s="490">
        <v>4</v>
      </c>
      <c r="AJ65" s="490">
        <v>1</v>
      </c>
      <c r="AK65" s="490">
        <v>29</v>
      </c>
      <c r="AL65" s="490">
        <v>94</v>
      </c>
      <c r="AM65" s="490">
        <v>14</v>
      </c>
      <c r="AN65" s="490">
        <v>0</v>
      </c>
      <c r="AO65" s="490">
        <v>2</v>
      </c>
      <c r="AP65" s="490">
        <v>0</v>
      </c>
      <c r="AQ65" s="397" t="s">
        <v>133</v>
      </c>
      <c r="AR65" s="65">
        <v>176</v>
      </c>
      <c r="AS65" s="65">
        <v>1012</v>
      </c>
      <c r="AT65" s="65">
        <v>1347</v>
      </c>
      <c r="AU65" s="65">
        <v>1415</v>
      </c>
      <c r="AV65" s="490">
        <v>1560</v>
      </c>
      <c r="AW65" s="490">
        <v>1842</v>
      </c>
      <c r="AX65" s="496">
        <v>2173</v>
      </c>
      <c r="BA65" s="381" t="s">
        <v>241</v>
      </c>
      <c r="BB65" s="554">
        <v>3.99</v>
      </c>
      <c r="BC65" s="554">
        <v>4.22</v>
      </c>
      <c r="BD65" s="554">
        <v>4.4800000000000004</v>
      </c>
      <c r="BE65" s="554">
        <v>4.78</v>
      </c>
      <c r="BF65" s="554">
        <v>5.0199999999999996</v>
      </c>
      <c r="BG65" s="554">
        <v>5.29</v>
      </c>
      <c r="BH65" s="554">
        <v>5.58</v>
      </c>
      <c r="BI65" s="445"/>
      <c r="BJ65" s="445"/>
      <c r="BK65" s="445"/>
      <c r="BL65" s="459"/>
    </row>
    <row r="66" spans="1:64" x14ac:dyDescent="0.25">
      <c r="A66" s="3" t="s">
        <v>4543</v>
      </c>
      <c r="B66" s="895" t="s">
        <v>43</v>
      </c>
      <c r="C66" s="899">
        <v>140.98035999999999</v>
      </c>
      <c r="D66" s="899">
        <v>130.20802800000001</v>
      </c>
      <c r="E66" s="899">
        <v>128.840653</v>
      </c>
      <c r="F66" s="899">
        <v>134.942958</v>
      </c>
      <c r="G66" s="899">
        <v>140.27165600000001</v>
      </c>
      <c r="H66" s="899">
        <v>157.371072</v>
      </c>
      <c r="I66" s="899">
        <v>147.69844900000001</v>
      </c>
      <c r="J66" s="900">
        <v>148.299916</v>
      </c>
      <c r="K66" s="900">
        <v>147.637922</v>
      </c>
      <c r="L66" s="900">
        <v>145.23746800000001</v>
      </c>
      <c r="M66" s="900">
        <v>151.50287399999999</v>
      </c>
      <c r="N66" s="900">
        <v>161.837423</v>
      </c>
      <c r="O66" s="900">
        <v>162.38180299999999</v>
      </c>
      <c r="P66" s="900">
        <v>161.52392399999999</v>
      </c>
      <c r="Q66" s="900">
        <v>154.83705699999999</v>
      </c>
      <c r="R66" s="899">
        <v>147.52949599999999</v>
      </c>
      <c r="S66" s="899">
        <v>135.543869</v>
      </c>
      <c r="T66" s="899">
        <v>143.68582000000001</v>
      </c>
      <c r="U66" s="899">
        <v>153.70139399999999</v>
      </c>
      <c r="V66" s="899">
        <v>152.363857</v>
      </c>
      <c r="W66" s="899">
        <v>135.56691599999999</v>
      </c>
      <c r="X66" s="4">
        <v>154.77463599999999</v>
      </c>
      <c r="AA66" s="26"/>
      <c r="AC66" s="499"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7" t="s">
        <v>698</v>
      </c>
      <c r="AR66" s="65">
        <v>28</v>
      </c>
      <c r="AS66" s="65">
        <v>44</v>
      </c>
      <c r="AT66" s="65">
        <v>118</v>
      </c>
      <c r="AU66" s="65">
        <v>143</v>
      </c>
      <c r="AV66" s="65">
        <v>140</v>
      </c>
      <c r="AW66" s="65">
        <v>128</v>
      </c>
      <c r="AX66" s="494">
        <v>122</v>
      </c>
      <c r="BA66" s="381" t="s">
        <v>247</v>
      </c>
      <c r="BB66" s="554">
        <v>13</v>
      </c>
      <c r="BC66" s="554">
        <v>13.8</v>
      </c>
      <c r="BD66" s="554">
        <v>14.7</v>
      </c>
      <c r="BE66" s="554">
        <v>15.6</v>
      </c>
      <c r="BF66" s="554">
        <v>16.399999999999999</v>
      </c>
      <c r="BG66" s="554">
        <v>17.2</v>
      </c>
      <c r="BH66" s="554">
        <v>18.100000000000001</v>
      </c>
      <c r="BI66" s="445"/>
      <c r="BJ66" s="445"/>
      <c r="BK66" s="445"/>
      <c r="BL66" s="459"/>
    </row>
    <row r="67" spans="1:64" x14ac:dyDescent="0.25">
      <c r="A67" s="3" t="s">
        <v>4544</v>
      </c>
      <c r="B67" s="895" t="s">
        <v>44</v>
      </c>
      <c r="C67" s="899">
        <v>0.705183</v>
      </c>
      <c r="D67" s="899">
        <v>0.79040900000000003</v>
      </c>
      <c r="E67" s="899">
        <v>0.94181400000000004</v>
      </c>
      <c r="F67" s="899">
        <v>0.99030300000000004</v>
      </c>
      <c r="G67" s="899">
        <v>1.069202</v>
      </c>
      <c r="H67" s="899">
        <v>1.0683229999999999</v>
      </c>
      <c r="I67" s="899">
        <v>1.144101</v>
      </c>
      <c r="J67" s="900">
        <v>1.219684</v>
      </c>
      <c r="K67" s="900">
        <v>1.3063579999999999</v>
      </c>
      <c r="L67" s="900">
        <v>1.875718</v>
      </c>
      <c r="M67" s="900">
        <v>2.0056889999999998</v>
      </c>
      <c r="N67" s="900">
        <v>2.0563199999999999</v>
      </c>
      <c r="O67" s="900">
        <v>2.0263520000000002</v>
      </c>
      <c r="P67" s="900">
        <v>2.1373259999999998</v>
      </c>
      <c r="Q67" s="900">
        <v>2.0459360000000002</v>
      </c>
      <c r="R67" s="899">
        <v>2.0496699999999999</v>
      </c>
      <c r="S67" s="899">
        <v>2.032079</v>
      </c>
      <c r="T67" s="899">
        <v>1.928129</v>
      </c>
      <c r="U67" s="899">
        <v>1.8857470000000001</v>
      </c>
      <c r="V67" s="899">
        <v>1.928194</v>
      </c>
      <c r="W67" s="899">
        <v>1.495376</v>
      </c>
      <c r="X67" s="4">
        <v>1.71987</v>
      </c>
      <c r="AA67" s="26"/>
      <c r="AC67" s="500"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9">
        <v>766</v>
      </c>
      <c r="AS67" s="479">
        <v>751</v>
      </c>
      <c r="AT67" s="479">
        <v>727</v>
      </c>
      <c r="AU67" s="479">
        <v>774</v>
      </c>
      <c r="AV67" s="479">
        <v>915</v>
      </c>
      <c r="AW67" s="479">
        <v>865</v>
      </c>
      <c r="AX67" s="493">
        <v>884</v>
      </c>
      <c r="BA67" s="381" t="s">
        <v>567</v>
      </c>
      <c r="BB67" s="554">
        <v>8.1300000000000008</v>
      </c>
      <c r="BC67" s="554">
        <v>8.7200000000000006</v>
      </c>
      <c r="BD67" s="554">
        <v>9.4</v>
      </c>
      <c r="BE67" s="554">
        <v>10.199999999999999</v>
      </c>
      <c r="BF67" s="554">
        <v>10.8</v>
      </c>
      <c r="BG67" s="554">
        <v>11.5</v>
      </c>
      <c r="BH67" s="554">
        <v>12.3</v>
      </c>
      <c r="BI67" s="445"/>
      <c r="BJ67" s="445"/>
      <c r="BK67" s="445"/>
      <c r="BL67" s="459"/>
    </row>
    <row r="68" spans="1:64" ht="15.75" x14ac:dyDescent="0.25">
      <c r="A68" s="3" t="s">
        <v>50</v>
      </c>
      <c r="B68" s="895" t="s">
        <v>50</v>
      </c>
      <c r="C68" s="899">
        <v>4.6895819999999997</v>
      </c>
      <c r="D68" s="899">
        <v>3.6440429999999999</v>
      </c>
      <c r="E68" s="899">
        <v>4.0649459999999999</v>
      </c>
      <c r="F68" s="899">
        <v>4.7045450000000004</v>
      </c>
      <c r="G68" s="899">
        <v>3.9495119999999999</v>
      </c>
      <c r="H68" s="899">
        <v>4.3787229999999999</v>
      </c>
      <c r="I68" s="899">
        <v>4.241708</v>
      </c>
      <c r="J68" s="900">
        <v>4.0832379999999997</v>
      </c>
      <c r="K68" s="900">
        <v>4.3798630000000003</v>
      </c>
      <c r="L68" s="900">
        <v>4.922269</v>
      </c>
      <c r="M68" s="900">
        <v>5.263611</v>
      </c>
      <c r="N68" s="900">
        <v>5.658919</v>
      </c>
      <c r="O68" s="900">
        <v>5.1961649999999997</v>
      </c>
      <c r="P68" s="900">
        <v>4.5546290000000003</v>
      </c>
      <c r="Q68" s="900">
        <v>4.2153150000000004</v>
      </c>
      <c r="R68" s="899">
        <v>4.00603</v>
      </c>
      <c r="S68" s="899">
        <v>4.1631539999999996</v>
      </c>
      <c r="T68" s="899">
        <v>2.3184010000000002</v>
      </c>
      <c r="U68" s="899">
        <v>3.3577720000000002</v>
      </c>
      <c r="V68" s="899">
        <v>3.899724</v>
      </c>
      <c r="W68" s="899">
        <v>3.183764</v>
      </c>
      <c r="X68" s="9">
        <f>SUM(X69:X72)</f>
        <v>2.2768790000000001</v>
      </c>
      <c r="AA68" s="26"/>
      <c r="AC68" s="500"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7" t="s">
        <v>108</v>
      </c>
      <c r="AR68" s="65">
        <v>681</v>
      </c>
      <c r="AS68" s="65">
        <v>670</v>
      </c>
      <c r="AT68" s="65">
        <v>655</v>
      </c>
      <c r="AU68" s="65">
        <v>697</v>
      </c>
      <c r="AV68" s="65">
        <v>826</v>
      </c>
      <c r="AW68" s="65">
        <v>757</v>
      </c>
      <c r="AX68" s="494">
        <v>740</v>
      </c>
      <c r="BA68" s="512" t="s">
        <v>4015</v>
      </c>
      <c r="BB68" s="445"/>
      <c r="BC68" s="445"/>
      <c r="BD68" s="445"/>
      <c r="BE68" s="445"/>
      <c r="BF68" s="445"/>
      <c r="BG68" s="445"/>
      <c r="BH68" s="445"/>
      <c r="BI68" s="445"/>
      <c r="BJ68" s="445"/>
      <c r="BK68" s="445"/>
      <c r="BL68" s="459"/>
    </row>
    <row r="69" spans="1:64" ht="15.75" thickBot="1" x14ac:dyDescent="0.3">
      <c r="A69" s="3" t="s">
        <v>4545</v>
      </c>
      <c r="B69" s="182" t="s">
        <v>20</v>
      </c>
      <c r="C69" s="901">
        <v>0.151084</v>
      </c>
      <c r="D69" s="901">
        <v>0.16311300000000001</v>
      </c>
      <c r="E69" s="901">
        <v>0.12562300000000001</v>
      </c>
      <c r="F69" s="901">
        <v>4.6521E-2</v>
      </c>
      <c r="G69" s="901">
        <v>3.4750999999999997E-2</v>
      </c>
      <c r="H69" s="901">
        <v>0</v>
      </c>
      <c r="I69" s="901">
        <v>0</v>
      </c>
      <c r="J69" s="902">
        <v>0</v>
      </c>
      <c r="K69" s="902">
        <v>0</v>
      </c>
      <c r="L69" s="902">
        <v>0.168709</v>
      </c>
      <c r="M69" s="902">
        <v>4.8298000000000001E-2</v>
      </c>
      <c r="N69" s="902">
        <v>0</v>
      </c>
      <c r="O69" s="902">
        <v>1.1582E-2</v>
      </c>
      <c r="P69" s="902">
        <v>1.1350000000000001E-2</v>
      </c>
      <c r="Q69" s="902">
        <v>3.4035999999999997E-2</v>
      </c>
      <c r="R69" s="901">
        <v>0.14010800000000001</v>
      </c>
      <c r="S69" s="901">
        <v>0.18796199999999999</v>
      </c>
      <c r="T69" s="901">
        <v>0.27311999999999997</v>
      </c>
      <c r="U69" s="901">
        <v>0.32593</v>
      </c>
      <c r="V69" s="901">
        <v>0.334671</v>
      </c>
      <c r="W69" s="901">
        <v>0.45749000000000001</v>
      </c>
      <c r="X69" s="3">
        <v>0.48718800000000001</v>
      </c>
      <c r="AA69" s="25"/>
      <c r="AC69" s="500"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7" t="s">
        <v>107</v>
      </c>
      <c r="AR69" s="65">
        <v>61</v>
      </c>
      <c r="AS69" s="65">
        <v>58</v>
      </c>
      <c r="AT69" s="65">
        <v>50</v>
      </c>
      <c r="AU69" s="65">
        <v>55</v>
      </c>
      <c r="AV69" s="65">
        <v>69</v>
      </c>
      <c r="AW69" s="65">
        <v>93</v>
      </c>
      <c r="AX69" s="494">
        <v>128</v>
      </c>
      <c r="BA69" s="553" t="s">
        <v>1688</v>
      </c>
      <c r="BB69" s="11">
        <v>2020</v>
      </c>
      <c r="BC69" s="11">
        <v>2025</v>
      </c>
      <c r="BD69" s="11">
        <v>2030</v>
      </c>
      <c r="BE69" s="11">
        <v>2035</v>
      </c>
      <c r="BF69" s="11">
        <v>2040</v>
      </c>
      <c r="BG69" s="11">
        <v>2045</v>
      </c>
      <c r="BH69" s="11">
        <v>2050</v>
      </c>
      <c r="BI69" s="445"/>
      <c r="BJ69" s="445"/>
      <c r="BK69" s="445"/>
      <c r="BL69" s="459"/>
    </row>
    <row r="70" spans="1:64" ht="15.75" thickTop="1" x14ac:dyDescent="0.25">
      <c r="A70" s="3" t="s">
        <v>4546</v>
      </c>
      <c r="B70" s="182" t="s">
        <v>21</v>
      </c>
      <c r="C70" s="901">
        <v>0.66575499999999999</v>
      </c>
      <c r="D70" s="901">
        <v>0.168956</v>
      </c>
      <c r="E70" s="901">
        <v>0.127441</v>
      </c>
      <c r="F70" s="901">
        <v>0.29089399999999999</v>
      </c>
      <c r="G70" s="901">
        <v>0.28531299999999998</v>
      </c>
      <c r="H70" s="901">
        <v>0.100342</v>
      </c>
      <c r="I70" s="901">
        <v>0.20217499999999999</v>
      </c>
      <c r="J70" s="902">
        <v>0.29717900000000003</v>
      </c>
      <c r="K70" s="902">
        <v>0.136022</v>
      </c>
      <c r="L70" s="902">
        <v>0.19989799999999999</v>
      </c>
      <c r="M70" s="902">
        <v>0.18345800000000001</v>
      </c>
      <c r="N70" s="902">
        <v>0.22464700000000001</v>
      </c>
      <c r="O70" s="902">
        <v>0.26613599999999998</v>
      </c>
      <c r="P70" s="902">
        <v>0.26895999999999998</v>
      </c>
      <c r="Q70" s="902">
        <v>0.36881799999999998</v>
      </c>
      <c r="R70" s="901">
        <v>0.37166500000000002</v>
      </c>
      <c r="S70" s="901">
        <v>0.426838</v>
      </c>
      <c r="T70" s="901">
        <v>0.38027899999999998</v>
      </c>
      <c r="U70" s="901">
        <v>0.31213299999999999</v>
      </c>
      <c r="V70" s="901">
        <v>0.417097</v>
      </c>
      <c r="W70" s="901">
        <v>0.26719799999999999</v>
      </c>
      <c r="X70" s="3">
        <v>0.26882600000000001</v>
      </c>
      <c r="AA70" s="25"/>
      <c r="AC70" s="500"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7" t="s">
        <v>131</v>
      </c>
      <c r="AR70" s="65">
        <v>0</v>
      </c>
      <c r="AS70" s="65">
        <v>0</v>
      </c>
      <c r="AT70" s="65">
        <v>0</v>
      </c>
      <c r="AU70" s="65">
        <v>0</v>
      </c>
      <c r="AV70" s="65">
        <v>0</v>
      </c>
      <c r="AW70" s="65">
        <v>0</v>
      </c>
      <c r="AX70" s="494">
        <v>0</v>
      </c>
      <c r="BA70" s="539" t="s">
        <v>2003</v>
      </c>
      <c r="BB70" s="445"/>
      <c r="BC70" s="445"/>
      <c r="BD70" s="445"/>
      <c r="BE70" s="445"/>
      <c r="BF70" s="445"/>
      <c r="BG70" s="445"/>
      <c r="BH70" s="445"/>
      <c r="BI70" s="445"/>
      <c r="BJ70" s="445"/>
      <c r="BK70" s="445"/>
      <c r="BL70" s="459"/>
    </row>
    <row r="71" spans="1:64" x14ac:dyDescent="0.25">
      <c r="A71" s="3" t="s">
        <v>4547</v>
      </c>
      <c r="B71" s="182" t="s">
        <v>22</v>
      </c>
      <c r="C71" s="901">
        <v>3.872744</v>
      </c>
      <c r="D71" s="901">
        <v>3.3119740000000002</v>
      </c>
      <c r="E71" s="901">
        <v>3.8118820000000002</v>
      </c>
      <c r="F71" s="901">
        <v>4.3671300000000004</v>
      </c>
      <c r="G71" s="901">
        <v>3.6294469999999999</v>
      </c>
      <c r="H71" s="901">
        <v>4.2783810000000004</v>
      </c>
      <c r="I71" s="901">
        <v>4.0395329999999996</v>
      </c>
      <c r="J71" s="902">
        <v>3.7749250000000001</v>
      </c>
      <c r="K71" s="902">
        <v>4.2375309999999997</v>
      </c>
      <c r="L71" s="902">
        <v>4.544702</v>
      </c>
      <c r="M71" s="902">
        <v>5.0230790000000001</v>
      </c>
      <c r="N71" s="902">
        <v>5.4218729999999997</v>
      </c>
      <c r="O71" s="902">
        <v>4.9025049999999997</v>
      </c>
      <c r="P71" s="902">
        <v>4.2590009999999996</v>
      </c>
      <c r="Q71" s="902">
        <v>3.7900309999999999</v>
      </c>
      <c r="R71" s="901">
        <v>3.4942389999999999</v>
      </c>
      <c r="S71" s="901">
        <v>3.5483169999999999</v>
      </c>
      <c r="T71" s="901">
        <v>1.7096519999999999</v>
      </c>
      <c r="U71" s="901">
        <v>2.7790170000000001</v>
      </c>
      <c r="V71" s="901">
        <v>3.2013410000000002</v>
      </c>
      <c r="W71" s="901">
        <v>1.8437190000000001</v>
      </c>
      <c r="X71" s="3">
        <v>1.5208649999999999</v>
      </c>
      <c r="AA71" s="25"/>
      <c r="AC71" s="500"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7" t="s">
        <v>132</v>
      </c>
      <c r="AR71" s="65">
        <v>0</v>
      </c>
      <c r="AS71" s="65">
        <v>0</v>
      </c>
      <c r="AT71" s="65">
        <v>0</v>
      </c>
      <c r="AU71" s="65">
        <v>0</v>
      </c>
      <c r="AV71" s="65">
        <v>0</v>
      </c>
      <c r="AW71" s="65">
        <v>0</v>
      </c>
      <c r="AX71" s="494">
        <v>0</v>
      </c>
      <c r="BA71" s="381" t="s">
        <v>1592</v>
      </c>
      <c r="BB71" s="406">
        <v>500000</v>
      </c>
      <c r="BC71" s="406">
        <v>512000</v>
      </c>
      <c r="BD71" s="406">
        <v>525000</v>
      </c>
      <c r="BE71" s="406">
        <v>537000</v>
      </c>
      <c r="BF71" s="406">
        <v>537000</v>
      </c>
      <c r="BG71" s="406">
        <v>537000</v>
      </c>
      <c r="BH71" s="406">
        <v>537000</v>
      </c>
      <c r="BI71" s="445"/>
      <c r="BJ71" s="445"/>
      <c r="BK71" s="445"/>
      <c r="BL71" s="459"/>
    </row>
    <row r="72" spans="1:64" x14ac:dyDescent="0.25">
      <c r="A72" s="3" t="s">
        <v>4548</v>
      </c>
      <c r="B72" s="182" t="s">
        <v>23</v>
      </c>
      <c r="C72" s="901"/>
      <c r="D72" s="901"/>
      <c r="E72" s="901"/>
      <c r="F72" s="901"/>
      <c r="G72" s="901"/>
      <c r="H72" s="901"/>
      <c r="I72" s="901"/>
      <c r="J72" s="902">
        <v>1.1126E-2</v>
      </c>
      <c r="K72" s="902">
        <v>6.3049999999999998E-3</v>
      </c>
      <c r="L72" s="902">
        <v>8.9569999999999997E-3</v>
      </c>
      <c r="M72" s="902">
        <v>8.7749999999999998E-3</v>
      </c>
      <c r="N72" s="902">
        <v>1.2394000000000001E-2</v>
      </c>
      <c r="O72" s="902">
        <v>1.5938999999999998E-2</v>
      </c>
      <c r="P72" s="902">
        <v>1.5313999999999999E-2</v>
      </c>
      <c r="Q72" s="902">
        <v>2.2429999999999999E-2</v>
      </c>
      <c r="R72" s="901"/>
      <c r="S72" s="901"/>
      <c r="T72" s="901"/>
      <c r="U72" s="901"/>
      <c r="V72" s="901"/>
      <c r="W72" s="901"/>
      <c r="AC72" s="501" t="s">
        <v>190</v>
      </c>
      <c r="AD72" s="490">
        <v>0</v>
      </c>
      <c r="AE72" s="490">
        <v>0</v>
      </c>
      <c r="AF72" s="490">
        <v>0</v>
      </c>
      <c r="AG72" s="490">
        <v>0</v>
      </c>
      <c r="AH72" s="490">
        <v>0</v>
      </c>
      <c r="AI72" s="490">
        <v>3</v>
      </c>
      <c r="AJ72" s="490">
        <v>0</v>
      </c>
      <c r="AK72" s="490">
        <v>0</v>
      </c>
      <c r="AL72" s="490">
        <v>0</v>
      </c>
      <c r="AM72" s="490">
        <v>1</v>
      </c>
      <c r="AN72" s="490">
        <v>0</v>
      </c>
      <c r="AO72" s="490">
        <v>1</v>
      </c>
      <c r="AP72" s="490">
        <v>0</v>
      </c>
      <c r="AQ72" s="397" t="s">
        <v>133</v>
      </c>
      <c r="AR72" s="65">
        <v>0</v>
      </c>
      <c r="AS72" s="65">
        <v>0</v>
      </c>
      <c r="AT72" s="65">
        <v>0</v>
      </c>
      <c r="AU72" s="65">
        <v>0</v>
      </c>
      <c r="AV72" s="65">
        <v>0</v>
      </c>
      <c r="AW72" s="65">
        <v>0</v>
      </c>
      <c r="AX72" s="494">
        <v>0</v>
      </c>
      <c r="BA72" s="381" t="s">
        <v>241</v>
      </c>
      <c r="BB72" s="406">
        <v>675000</v>
      </c>
      <c r="BC72" s="406">
        <v>692000</v>
      </c>
      <c r="BD72" s="406">
        <v>709000</v>
      </c>
      <c r="BE72" s="406">
        <v>725000</v>
      </c>
      <c r="BF72" s="406">
        <v>725000</v>
      </c>
      <c r="BG72" s="406">
        <v>725000</v>
      </c>
      <c r="BH72" s="406">
        <v>725000</v>
      </c>
      <c r="BI72" s="445"/>
      <c r="BJ72" s="445"/>
      <c r="BK72" s="445"/>
      <c r="BL72" s="459"/>
    </row>
    <row r="73" spans="1:64" x14ac:dyDescent="0.25">
      <c r="A73" s="3" t="s">
        <v>52</v>
      </c>
      <c r="B73" s="903" t="s">
        <v>52</v>
      </c>
      <c r="C73" s="900">
        <v>9.4852129999999999</v>
      </c>
      <c r="D73" s="900">
        <v>8.5424399999999991</v>
      </c>
      <c r="E73" s="900">
        <v>10.274524</v>
      </c>
      <c r="F73" s="900">
        <v>10.71255</v>
      </c>
      <c r="G73" s="900">
        <v>10.853673000000001</v>
      </c>
      <c r="H73" s="900">
        <v>12.391415</v>
      </c>
      <c r="I73" s="900">
        <v>10.146985000000001</v>
      </c>
      <c r="J73" s="900">
        <v>10.549376000000001</v>
      </c>
      <c r="K73" s="900">
        <v>11.113818</v>
      </c>
      <c r="L73" s="900">
        <v>12.038605</v>
      </c>
      <c r="M73" s="900">
        <v>13.28627</v>
      </c>
      <c r="N73" s="900">
        <v>14.083425</v>
      </c>
      <c r="O73" s="900">
        <v>13.356555999999999</v>
      </c>
      <c r="P73" s="900">
        <v>14.081363</v>
      </c>
      <c r="Q73" s="900">
        <v>13.017598</v>
      </c>
      <c r="R73" s="900">
        <v>13.027352</v>
      </c>
      <c r="S73" s="900">
        <v>11.052978</v>
      </c>
      <c r="T73" s="900">
        <v>11.842838</v>
      </c>
      <c r="U73" s="900">
        <v>12.462740999999999</v>
      </c>
      <c r="V73" s="900">
        <v>12.674037999999999</v>
      </c>
      <c r="W73" s="900">
        <v>9.5452720000000006</v>
      </c>
      <c r="X73" s="4">
        <f>SUM(X74:X79)</f>
        <v>7.2213019999999997</v>
      </c>
      <c r="AC73" s="499"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7" t="s">
        <v>698</v>
      </c>
      <c r="AR73" s="65">
        <v>24</v>
      </c>
      <c r="AS73" s="65">
        <v>23</v>
      </c>
      <c r="AT73" s="65">
        <v>22</v>
      </c>
      <c r="AU73" s="65">
        <v>22</v>
      </c>
      <c r="AV73" s="65">
        <v>20</v>
      </c>
      <c r="AW73" s="65">
        <v>15</v>
      </c>
      <c r="AX73" s="494">
        <v>16</v>
      </c>
      <c r="BA73" s="381" t="s">
        <v>247</v>
      </c>
      <c r="BB73" s="406">
        <v>676000</v>
      </c>
      <c r="BC73" s="406">
        <v>642000</v>
      </c>
      <c r="BD73" s="406">
        <v>609000</v>
      </c>
      <c r="BE73" s="406">
        <v>576000</v>
      </c>
      <c r="BF73" s="406">
        <v>565000</v>
      </c>
      <c r="BG73" s="406">
        <v>554000</v>
      </c>
      <c r="BH73" s="406">
        <v>544000</v>
      </c>
      <c r="BI73" s="445"/>
      <c r="BJ73" s="445"/>
      <c r="BK73" s="445"/>
      <c r="BL73" s="459"/>
    </row>
    <row r="74" spans="1:64" s="18" customFormat="1" x14ac:dyDescent="0.25">
      <c r="A74" s="18" t="s">
        <v>4550</v>
      </c>
      <c r="B74" s="182" t="s">
        <v>53</v>
      </c>
      <c r="C74" s="898">
        <v>1.3640000000000001</v>
      </c>
      <c r="D74" s="898">
        <v>1.3180000000000001</v>
      </c>
      <c r="E74" s="898">
        <v>1.3939999999999999</v>
      </c>
      <c r="F74" s="898">
        <v>1.35</v>
      </c>
      <c r="G74" s="898">
        <v>1.355</v>
      </c>
      <c r="H74" s="898">
        <v>1.411</v>
      </c>
      <c r="I74" s="898">
        <v>1.601</v>
      </c>
      <c r="J74" s="898">
        <v>1.17</v>
      </c>
      <c r="K74" s="898">
        <v>1.56</v>
      </c>
      <c r="L74" s="898">
        <v>1.149</v>
      </c>
      <c r="M74" s="898">
        <v>1.171</v>
      </c>
      <c r="N74" s="898">
        <v>1.1839999999999999</v>
      </c>
      <c r="O74" s="898">
        <v>1.1439999999999999</v>
      </c>
      <c r="P74" s="898">
        <v>1.177</v>
      </c>
      <c r="Q74" s="898">
        <v>1.474</v>
      </c>
      <c r="R74" s="898">
        <v>1.5269999999999999</v>
      </c>
      <c r="S74" s="898">
        <v>1.5409999999999999</v>
      </c>
      <c r="T74" s="898">
        <v>1.504</v>
      </c>
      <c r="U74" s="898">
        <v>1.506</v>
      </c>
      <c r="V74" s="898">
        <v>1.5209999999999999</v>
      </c>
      <c r="W74" s="898">
        <v>1.4770000000000001</v>
      </c>
      <c r="X74" s="3">
        <v>1.5569999999999999</v>
      </c>
      <c r="Y74"/>
      <c r="Z74"/>
      <c r="AA74" s="23"/>
      <c r="AB74" s="3"/>
      <c r="AC74" s="500"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2">
        <v>122905</v>
      </c>
      <c r="AS74" s="502">
        <v>125671</v>
      </c>
      <c r="AT74" s="502">
        <v>128102</v>
      </c>
      <c r="AU74" s="502">
        <v>138081</v>
      </c>
      <c r="AV74" s="502">
        <v>152693</v>
      </c>
      <c r="AW74" s="502">
        <v>148436</v>
      </c>
      <c r="AX74" s="950">
        <v>147657</v>
      </c>
      <c r="BA74" s="381" t="s">
        <v>567</v>
      </c>
      <c r="BB74" s="406">
        <v>666000</v>
      </c>
      <c r="BC74" s="406">
        <v>644000</v>
      </c>
      <c r="BD74" s="406">
        <v>622000</v>
      </c>
      <c r="BE74" s="406">
        <v>601000</v>
      </c>
      <c r="BF74" s="406">
        <v>585000</v>
      </c>
      <c r="BG74" s="406">
        <v>570000</v>
      </c>
      <c r="BH74" s="406">
        <v>554000</v>
      </c>
      <c r="BI74" s="498"/>
      <c r="BJ74" s="498"/>
      <c r="BK74" s="498"/>
      <c r="BL74" s="504"/>
    </row>
    <row r="75" spans="1:64" x14ac:dyDescent="0.25">
      <c r="A75" s="3" t="s">
        <v>4551</v>
      </c>
      <c r="B75" s="182" t="s">
        <v>20</v>
      </c>
      <c r="C75" s="898">
        <v>0.68569199999999997</v>
      </c>
      <c r="D75" s="898">
        <v>0.42829800000000001</v>
      </c>
      <c r="E75" s="898">
        <v>0.44459900000000002</v>
      </c>
      <c r="F75" s="898">
        <v>0.502166</v>
      </c>
      <c r="G75" s="898">
        <v>0.45599699999999999</v>
      </c>
      <c r="H75" s="898">
        <v>0.472165</v>
      </c>
      <c r="I75" s="898">
        <v>0.40699299999999999</v>
      </c>
      <c r="J75" s="898">
        <v>0.49617499999999998</v>
      </c>
      <c r="K75" s="898">
        <v>0.49492599999999998</v>
      </c>
      <c r="L75" s="898">
        <v>0.390816</v>
      </c>
      <c r="M75" s="898">
        <v>0.39021099999999997</v>
      </c>
      <c r="N75" s="898">
        <v>0.140793</v>
      </c>
      <c r="O75" s="898">
        <v>0.22440199999999999</v>
      </c>
      <c r="P75" s="898">
        <v>0.193777</v>
      </c>
      <c r="Q75" s="898">
        <v>0.30918099999999998</v>
      </c>
      <c r="R75" s="898">
        <v>0.28578700000000001</v>
      </c>
      <c r="S75" s="898">
        <v>0.254666</v>
      </c>
      <c r="T75" s="898">
        <v>0.27463500000000002</v>
      </c>
      <c r="U75" s="898">
        <v>0.324818</v>
      </c>
      <c r="V75" s="898">
        <v>0.30559700000000001</v>
      </c>
      <c r="W75" s="898">
        <v>0.22004399999999999</v>
      </c>
      <c r="X75" s="3">
        <v>0.17266400000000001</v>
      </c>
      <c r="AC75" s="500"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7" t="s">
        <v>108</v>
      </c>
      <c r="AR75" s="201">
        <v>44499</v>
      </c>
      <c r="AS75" s="201">
        <v>46834</v>
      </c>
      <c r="AT75" s="201">
        <v>48848</v>
      </c>
      <c r="AU75" s="201">
        <v>53477</v>
      </c>
      <c r="AV75" s="201">
        <v>58781</v>
      </c>
      <c r="AW75" s="201">
        <v>58902</v>
      </c>
      <c r="AX75" s="496">
        <v>59531</v>
      </c>
      <c r="BA75" s="539" t="s">
        <v>2003</v>
      </c>
      <c r="BB75" s="503"/>
      <c r="BC75" s="503"/>
      <c r="BD75" s="503"/>
      <c r="BE75" s="503"/>
      <c r="BF75" s="503"/>
      <c r="BG75" s="503"/>
      <c r="BH75" s="503"/>
      <c r="BI75" s="445"/>
      <c r="BJ75" s="445"/>
      <c r="BK75" s="445"/>
      <c r="BL75" s="459"/>
    </row>
    <row r="76" spans="1:64" s="22" customFormat="1" x14ac:dyDescent="0.25">
      <c r="A76" s="22" t="s">
        <v>4552</v>
      </c>
      <c r="B76" s="182" t="s">
        <v>21</v>
      </c>
      <c r="C76" s="898">
        <v>1.6820999999999999E-2</v>
      </c>
      <c r="D76" s="898">
        <v>2.9722999999999999E-2</v>
      </c>
      <c r="E76" s="898">
        <v>4.2960999999999999E-2</v>
      </c>
      <c r="F76" s="898">
        <v>4.8107999999999998E-2</v>
      </c>
      <c r="G76" s="898">
        <v>2.5139000000000002E-2</v>
      </c>
      <c r="H76" s="898">
        <v>1.7239000000000001E-2</v>
      </c>
      <c r="I76" s="898">
        <v>8.1709999999999994E-3</v>
      </c>
      <c r="J76" s="898">
        <v>1.2288E-2</v>
      </c>
      <c r="K76" s="898">
        <v>1.9505000000000002E-2</v>
      </c>
      <c r="L76" s="898">
        <v>1.7649000000000001E-2</v>
      </c>
      <c r="M76" s="898">
        <v>2.0490999999999999E-2</v>
      </c>
      <c r="N76" s="898">
        <v>2.5127E-2</v>
      </c>
      <c r="O76" s="898">
        <v>1.9820999999999998E-2</v>
      </c>
      <c r="P76" s="898">
        <v>6.6780000000000006E-2</v>
      </c>
      <c r="Q76" s="898">
        <v>7.5556999999999999E-2</v>
      </c>
      <c r="R76" s="898">
        <v>9.1785000000000005E-2</v>
      </c>
      <c r="S76" s="898">
        <v>0.113649</v>
      </c>
      <c r="T76" s="898">
        <v>0.17688799999999999</v>
      </c>
      <c r="U76" s="898">
        <v>0.218005</v>
      </c>
      <c r="V76" s="898">
        <v>0.242925</v>
      </c>
      <c r="W76" s="898">
        <v>0.158549</v>
      </c>
      <c r="X76" s="3">
        <v>0.163075</v>
      </c>
      <c r="Y76"/>
      <c r="Z76"/>
      <c r="AA76" s="23"/>
      <c r="AC76" s="500" t="s">
        <v>131</v>
      </c>
      <c r="AD76" s="201">
        <v>0</v>
      </c>
      <c r="AE76" s="201">
        <v>0</v>
      </c>
      <c r="AF76" s="201">
        <v>0</v>
      </c>
      <c r="AG76" s="201">
        <v>0</v>
      </c>
      <c r="AH76" s="201">
        <v>0</v>
      </c>
      <c r="AI76" s="201">
        <v>0</v>
      </c>
      <c r="AJ76" s="201">
        <v>0</v>
      </c>
      <c r="AK76" s="201">
        <v>0</v>
      </c>
      <c r="AL76" s="201">
        <v>0</v>
      </c>
      <c r="AM76" s="201">
        <v>0</v>
      </c>
      <c r="AN76" s="201">
        <v>0</v>
      </c>
      <c r="AO76" s="201">
        <v>873</v>
      </c>
      <c r="AP76" s="201">
        <v>1809</v>
      </c>
      <c r="AQ76" s="397" t="s">
        <v>107</v>
      </c>
      <c r="AR76" s="201">
        <v>78401</v>
      </c>
      <c r="AS76" s="201">
        <v>78833</v>
      </c>
      <c r="AT76" s="201">
        <v>79250</v>
      </c>
      <c r="AU76" s="201">
        <v>84597</v>
      </c>
      <c r="AV76" s="201">
        <v>93902</v>
      </c>
      <c r="AW76" s="201">
        <v>89523</v>
      </c>
      <c r="AX76" s="496">
        <v>88096</v>
      </c>
      <c r="BA76" s="381" t="s">
        <v>1592</v>
      </c>
      <c r="BB76" s="406">
        <v>500000</v>
      </c>
      <c r="BC76" s="406">
        <v>512000</v>
      </c>
      <c r="BD76" s="406">
        <v>525000</v>
      </c>
      <c r="BE76" s="406">
        <v>537000</v>
      </c>
      <c r="BF76" s="406">
        <v>537000</v>
      </c>
      <c r="BG76" s="406">
        <v>537000</v>
      </c>
      <c r="BH76" s="406">
        <v>537000</v>
      </c>
      <c r="BI76" s="503"/>
      <c r="BJ76" s="503"/>
      <c r="BK76" s="503"/>
      <c r="BL76" s="505"/>
    </row>
    <row r="77" spans="1:64" x14ac:dyDescent="0.25">
      <c r="A77" s="3" t="s">
        <v>4553</v>
      </c>
      <c r="B77" s="182" t="s">
        <v>22</v>
      </c>
      <c r="C77" s="898">
        <v>7.4187010000000004</v>
      </c>
      <c r="D77" s="898">
        <v>6.6480670000000002</v>
      </c>
      <c r="E77" s="898">
        <v>8.210051</v>
      </c>
      <c r="F77" s="898">
        <v>8.5899289999999997</v>
      </c>
      <c r="G77" s="898">
        <v>8.5381020000000003</v>
      </c>
      <c r="H77" s="898">
        <v>9.1746110000000005</v>
      </c>
      <c r="I77" s="898">
        <v>8.1308209999999992</v>
      </c>
      <c r="J77" s="898">
        <v>8.8704520000000002</v>
      </c>
      <c r="K77" s="898">
        <v>9.0384820000000001</v>
      </c>
      <c r="L77" s="898">
        <v>10.480349</v>
      </c>
      <c r="M77" s="898">
        <v>11.703588999999999</v>
      </c>
      <c r="N77" s="898">
        <v>12.732118</v>
      </c>
      <c r="O77" s="898">
        <v>11.967146</v>
      </c>
      <c r="P77" s="898">
        <v>12.640002000000001</v>
      </c>
      <c r="Q77" s="898">
        <v>11.154265000000001</v>
      </c>
      <c r="R77" s="898">
        <v>11.122775000000001</v>
      </c>
      <c r="S77" s="898">
        <v>9.1436539999999997</v>
      </c>
      <c r="T77" s="898">
        <v>10.151546</v>
      </c>
      <c r="U77" s="898">
        <v>10.640644999999999</v>
      </c>
      <c r="V77" s="898">
        <v>10.783906999999999</v>
      </c>
      <c r="W77" s="898">
        <v>6.0691980000000001</v>
      </c>
      <c r="X77" s="3">
        <v>5.3285629999999999</v>
      </c>
      <c r="AC77" s="500"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7" t="s">
        <v>131</v>
      </c>
      <c r="AR77" s="65">
        <v>1</v>
      </c>
      <c r="AS77" s="65">
        <v>1</v>
      </c>
      <c r="AT77" s="65">
        <v>0</v>
      </c>
      <c r="AU77" s="65">
        <v>0</v>
      </c>
      <c r="AV77" s="65">
        <v>0</v>
      </c>
      <c r="AW77" s="65">
        <v>0</v>
      </c>
      <c r="AX77" s="496">
        <v>20</v>
      </c>
      <c r="AY77" s="953">
        <f>AX77/AX74</f>
        <v>1.3544904745457377E-4</v>
      </c>
      <c r="BA77" s="381" t="s">
        <v>241</v>
      </c>
      <c r="BB77" s="406">
        <v>675000</v>
      </c>
      <c r="BC77" s="406">
        <v>692000</v>
      </c>
      <c r="BD77" s="406">
        <v>709000</v>
      </c>
      <c r="BE77" s="406">
        <v>725000</v>
      </c>
      <c r="BF77" s="406">
        <v>725000</v>
      </c>
      <c r="BG77" s="406">
        <v>725000</v>
      </c>
      <c r="BH77" s="406">
        <v>725000</v>
      </c>
      <c r="BI77" s="445"/>
      <c r="BJ77" s="445"/>
      <c r="BK77" s="445"/>
      <c r="BL77" s="459"/>
    </row>
    <row r="78" spans="1:64" x14ac:dyDescent="0.25">
      <c r="A78" s="3" t="s">
        <v>4554</v>
      </c>
      <c r="B78" s="182" t="s">
        <v>23</v>
      </c>
      <c r="C78" s="897"/>
      <c r="D78" s="897"/>
      <c r="E78" s="897"/>
      <c r="F78" s="897"/>
      <c r="G78" s="897"/>
      <c r="H78" s="897"/>
      <c r="I78" s="897"/>
      <c r="J78" s="898">
        <v>4.6000000000000001E-4</v>
      </c>
      <c r="K78" s="898">
        <v>9.0399999999999996E-4</v>
      </c>
      <c r="L78" s="898">
        <v>7.9100000000000004E-4</v>
      </c>
      <c r="M78" s="898">
        <v>9.7999999999999997E-4</v>
      </c>
      <c r="N78" s="898">
        <v>1.3860000000000001E-3</v>
      </c>
      <c r="O78" s="898">
        <v>1.1869999999999999E-3</v>
      </c>
      <c r="P78" s="898">
        <v>3.8019999999999998E-3</v>
      </c>
      <c r="Q78" s="898">
        <v>4.5950000000000001E-3</v>
      </c>
      <c r="R78" s="897"/>
      <c r="S78" s="897"/>
      <c r="T78" s="897"/>
      <c r="U78" s="897"/>
      <c r="V78" s="897"/>
      <c r="W78" s="897"/>
      <c r="AC78" s="501" t="s">
        <v>133</v>
      </c>
      <c r="AD78" s="490">
        <v>0</v>
      </c>
      <c r="AE78" s="490">
        <v>0</v>
      </c>
      <c r="AF78" s="490">
        <v>0</v>
      </c>
      <c r="AG78" s="490">
        <v>0</v>
      </c>
      <c r="AH78" s="490">
        <v>0</v>
      </c>
      <c r="AI78" s="490">
        <v>0</v>
      </c>
      <c r="AJ78" s="490">
        <v>0</v>
      </c>
      <c r="AK78" s="490">
        <v>0</v>
      </c>
      <c r="AL78" s="490">
        <v>0</v>
      </c>
      <c r="AM78" s="490">
        <v>0</v>
      </c>
      <c r="AN78" s="490">
        <v>0</v>
      </c>
      <c r="AO78" s="490">
        <v>0</v>
      </c>
      <c r="AP78" s="490">
        <v>0</v>
      </c>
      <c r="AQ78" s="397" t="s">
        <v>132</v>
      </c>
      <c r="AR78" s="490">
        <v>0</v>
      </c>
      <c r="AS78" s="490">
        <v>0</v>
      </c>
      <c r="AT78" s="490">
        <v>0</v>
      </c>
      <c r="AU78" s="490">
        <v>0</v>
      </c>
      <c r="AV78" s="490">
        <v>0</v>
      </c>
      <c r="AW78" s="490">
        <v>0</v>
      </c>
      <c r="AX78" s="949">
        <v>0</v>
      </c>
      <c r="BA78" s="381" t="s">
        <v>247</v>
      </c>
      <c r="BB78" s="406">
        <v>668000</v>
      </c>
      <c r="BC78" s="406">
        <v>637000</v>
      </c>
      <c r="BD78" s="406">
        <v>605000</v>
      </c>
      <c r="BE78" s="406">
        <v>574000</v>
      </c>
      <c r="BF78" s="406">
        <v>563000</v>
      </c>
      <c r="BG78" s="406">
        <v>553000</v>
      </c>
      <c r="BH78" s="406">
        <v>543000</v>
      </c>
      <c r="BI78" s="445"/>
      <c r="BJ78" s="445"/>
      <c r="BK78" s="445"/>
      <c r="BL78" s="459"/>
    </row>
    <row r="79" spans="1:64" x14ac:dyDescent="0.25">
      <c r="A79" s="3" t="s">
        <v>4555</v>
      </c>
      <c r="B79" s="182" t="s">
        <v>25</v>
      </c>
      <c r="C79" s="898">
        <v>0</v>
      </c>
      <c r="D79" s="898">
        <v>0.118352</v>
      </c>
      <c r="E79" s="898">
        <v>0.18291299999999999</v>
      </c>
      <c r="F79" s="898">
        <v>0.22234699999999999</v>
      </c>
      <c r="G79" s="898">
        <v>0.479435</v>
      </c>
      <c r="H79" s="898">
        <v>1.3164</v>
      </c>
      <c r="I79" s="898">
        <v>0</v>
      </c>
      <c r="J79" s="898">
        <v>0</v>
      </c>
      <c r="K79" s="898">
        <v>0</v>
      </c>
      <c r="L79" s="898">
        <v>0</v>
      </c>
      <c r="M79" s="898">
        <v>0</v>
      </c>
      <c r="N79" s="898">
        <v>0</v>
      </c>
      <c r="O79" s="898">
        <v>0</v>
      </c>
      <c r="P79" s="898">
        <v>0</v>
      </c>
      <c r="Q79" s="898">
        <v>0</v>
      </c>
      <c r="R79" s="898">
        <v>0</v>
      </c>
      <c r="S79" s="898">
        <v>0</v>
      </c>
      <c r="T79" s="898">
        <v>0</v>
      </c>
      <c r="U79" s="898">
        <v>0</v>
      </c>
      <c r="V79" s="898">
        <v>0</v>
      </c>
      <c r="W79" s="898">
        <v>0</v>
      </c>
      <c r="X79" s="3">
        <v>0</v>
      </c>
      <c r="AC79" s="501" t="s">
        <v>190</v>
      </c>
      <c r="AD79" s="490">
        <v>0</v>
      </c>
      <c r="AE79" s="490">
        <v>1</v>
      </c>
      <c r="AF79" s="490">
        <v>3</v>
      </c>
      <c r="AG79" s="490">
        <v>0</v>
      </c>
      <c r="AH79" s="490">
        <v>1</v>
      </c>
      <c r="AI79" s="490">
        <v>1</v>
      </c>
      <c r="AJ79" s="490">
        <v>1</v>
      </c>
      <c r="AK79" s="490">
        <v>0</v>
      </c>
      <c r="AL79" s="490">
        <v>0</v>
      </c>
      <c r="AM79" s="490">
        <v>0</v>
      </c>
      <c r="AN79" s="490">
        <v>0</v>
      </c>
      <c r="AO79" s="490">
        <v>0</v>
      </c>
      <c r="AP79" s="490">
        <v>0</v>
      </c>
      <c r="AQ79" s="397" t="s">
        <v>133</v>
      </c>
      <c r="AR79" s="65">
        <v>0</v>
      </c>
      <c r="AS79" s="65">
        <v>0</v>
      </c>
      <c r="AT79" s="65">
        <v>0</v>
      </c>
      <c r="AU79" s="65">
        <v>0</v>
      </c>
      <c r="AV79" s="65">
        <v>0</v>
      </c>
      <c r="AW79" s="65">
        <v>0</v>
      </c>
      <c r="AX79" s="494">
        <v>0</v>
      </c>
      <c r="BA79" s="381" t="s">
        <v>567</v>
      </c>
      <c r="BB79" s="406">
        <v>664000</v>
      </c>
      <c r="BC79" s="406">
        <v>643000</v>
      </c>
      <c r="BD79" s="406">
        <v>621000</v>
      </c>
      <c r="BE79" s="406">
        <v>600000</v>
      </c>
      <c r="BF79" s="406">
        <v>585000</v>
      </c>
      <c r="BG79" s="406">
        <v>569000</v>
      </c>
      <c r="BH79" s="406">
        <v>554000</v>
      </c>
      <c r="BI79" s="445"/>
      <c r="BJ79" s="445"/>
      <c r="BK79" s="445"/>
      <c r="BL79" s="459"/>
    </row>
    <row r="80" spans="1:64" x14ac:dyDescent="0.25">
      <c r="A80" s="3" t="s">
        <v>56</v>
      </c>
      <c r="B80" s="903" t="s">
        <v>56</v>
      </c>
      <c r="C80" s="885">
        <v>2.2366480000000002</v>
      </c>
      <c r="D80" s="885">
        <v>1.9736389999999999</v>
      </c>
      <c r="E80" s="885">
        <v>2.3986100000000001</v>
      </c>
      <c r="F80" s="885">
        <v>2.242375</v>
      </c>
      <c r="G80" s="885">
        <v>1.9964679999999999</v>
      </c>
      <c r="H80" s="885">
        <v>2.3589609999999999</v>
      </c>
      <c r="I80" s="885">
        <v>2.0345949999999999</v>
      </c>
      <c r="J80" s="885">
        <v>2.0804279999999999</v>
      </c>
      <c r="K80" s="885">
        <v>2.0780650000000001</v>
      </c>
      <c r="L80" s="885">
        <v>1.7445930000000001</v>
      </c>
      <c r="M80" s="885">
        <v>1.854978</v>
      </c>
      <c r="N80" s="885">
        <v>1.874082</v>
      </c>
      <c r="O80" s="885">
        <v>1.8783609999999999</v>
      </c>
      <c r="P80" s="885">
        <v>2.0735999999999999</v>
      </c>
      <c r="Q80" s="885">
        <v>2.0792030000000001</v>
      </c>
      <c r="R80" s="885">
        <v>1.7375210000000001</v>
      </c>
      <c r="S80" s="885">
        <v>1.3920189999999999</v>
      </c>
      <c r="T80" s="885">
        <v>0.93057299999999998</v>
      </c>
      <c r="U80" s="885">
        <v>0.80002899999999999</v>
      </c>
      <c r="V80" s="885">
        <v>0.80151700000000003</v>
      </c>
      <c r="W80" s="885">
        <v>0.65678999999999998</v>
      </c>
      <c r="X80" s="4">
        <f>SUM(X81:X83)</f>
        <v>0.31557600000000002</v>
      </c>
      <c r="AC80" s="499"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7" t="s">
        <v>698</v>
      </c>
      <c r="AR80" s="65">
        <v>4</v>
      </c>
      <c r="AS80" s="65">
        <v>3</v>
      </c>
      <c r="AT80" s="65">
        <v>4</v>
      </c>
      <c r="AU80" s="65">
        <v>7</v>
      </c>
      <c r="AV80" s="65">
        <v>10</v>
      </c>
      <c r="AW80" s="65">
        <v>11</v>
      </c>
      <c r="AX80" s="494">
        <v>10</v>
      </c>
      <c r="BA80" s="487"/>
      <c r="BB80" s="445"/>
      <c r="BC80" s="445"/>
      <c r="BD80" s="445"/>
      <c r="BE80" s="445"/>
      <c r="BF80" s="445"/>
      <c r="BG80" s="445"/>
      <c r="BH80" s="445"/>
      <c r="BI80" s="445"/>
      <c r="BJ80" s="445"/>
      <c r="BK80" s="445"/>
      <c r="BL80" s="459"/>
    </row>
    <row r="81" spans="1:64" ht="15.75" x14ac:dyDescent="0.25">
      <c r="A81" s="3" t="s">
        <v>4556</v>
      </c>
      <c r="B81" s="182" t="s">
        <v>21</v>
      </c>
      <c r="C81" s="884">
        <v>0.30046899999999999</v>
      </c>
      <c r="D81" s="884">
        <v>2.6842000000000001E-2</v>
      </c>
      <c r="E81" s="884">
        <v>6.8661E-2</v>
      </c>
      <c r="F81" s="884">
        <v>4.8210999999999997E-2</v>
      </c>
      <c r="G81" s="884">
        <v>4.2181000000000003E-2</v>
      </c>
      <c r="H81" s="884">
        <v>7.2048000000000001E-2</v>
      </c>
      <c r="I81" s="884">
        <v>5.8450000000000002E-2</v>
      </c>
      <c r="J81" s="884">
        <v>6.8434999999999996E-2</v>
      </c>
      <c r="K81" s="884">
        <v>7.6173000000000005E-2</v>
      </c>
      <c r="L81" s="884">
        <v>6.7116999999999996E-2</v>
      </c>
      <c r="M81" s="884">
        <v>6.6559999999999994E-2</v>
      </c>
      <c r="N81" s="884">
        <v>6.9053000000000003E-2</v>
      </c>
      <c r="O81" s="884">
        <v>7.4390999999999999E-2</v>
      </c>
      <c r="P81" s="884">
        <v>0.11554499999999999</v>
      </c>
      <c r="Q81" s="884">
        <v>0.11392099999999999</v>
      </c>
      <c r="R81" s="884">
        <v>0.12826399999999999</v>
      </c>
      <c r="S81" s="884">
        <v>0.147976</v>
      </c>
      <c r="T81" s="884">
        <v>0.16229099999999999</v>
      </c>
      <c r="U81" s="884">
        <v>0.15032999999999999</v>
      </c>
      <c r="V81" s="884">
        <v>0.179507</v>
      </c>
      <c r="W81" s="884">
        <v>9.6997E-2</v>
      </c>
      <c r="X81" s="3">
        <v>6.1744E-2</v>
      </c>
      <c r="AC81" s="500"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9">
        <v>219</v>
      </c>
      <c r="AS81" s="479">
        <v>224</v>
      </c>
      <c r="AT81" s="479">
        <v>217</v>
      </c>
      <c r="AU81" s="479">
        <v>229</v>
      </c>
      <c r="AV81" s="479">
        <v>235</v>
      </c>
      <c r="AW81" s="479">
        <v>197</v>
      </c>
      <c r="AX81" s="493">
        <v>179</v>
      </c>
      <c r="BA81" s="468" t="s">
        <v>773</v>
      </c>
      <c r="BB81" s="445"/>
      <c r="BC81" s="445"/>
      <c r="BD81" s="445"/>
      <c r="BE81" s="445"/>
      <c r="BF81" s="555" t="s">
        <v>771</v>
      </c>
      <c r="BG81" s="445"/>
      <c r="BH81" s="445"/>
      <c r="BI81" s="445"/>
      <c r="BJ81" s="445"/>
      <c r="BK81" s="445"/>
      <c r="BL81" s="459"/>
    </row>
    <row r="82" spans="1:64" ht="15.75" thickBot="1" x14ac:dyDescent="0.3">
      <c r="A82" s="3" t="s">
        <v>4557</v>
      </c>
      <c r="B82" s="182" t="s">
        <v>22</v>
      </c>
      <c r="C82" s="884">
        <v>1.9361790000000001</v>
      </c>
      <c r="D82" s="884">
        <v>1.9467970000000001</v>
      </c>
      <c r="E82" s="884">
        <v>2.329949</v>
      </c>
      <c r="F82" s="884">
        <v>2.1941639999999998</v>
      </c>
      <c r="G82" s="884">
        <v>1.954286</v>
      </c>
      <c r="H82" s="884">
        <v>2.2869130000000002</v>
      </c>
      <c r="I82" s="884">
        <v>1.9761439999999999</v>
      </c>
      <c r="J82" s="884">
        <v>2.0245850000000001</v>
      </c>
      <c r="K82" s="884">
        <v>2.013954</v>
      </c>
      <c r="L82" s="884">
        <v>1.682604</v>
      </c>
      <c r="M82" s="884">
        <v>1.7926340000000001</v>
      </c>
      <c r="N82" s="884">
        <v>1.812732</v>
      </c>
      <c r="O82" s="884">
        <v>1.8048420000000001</v>
      </c>
      <c r="P82" s="884">
        <v>1.9592039999999999</v>
      </c>
      <c r="Q82" s="884">
        <v>1.9583539999999999</v>
      </c>
      <c r="R82" s="884">
        <v>1.6342190000000001</v>
      </c>
      <c r="S82" s="884">
        <v>1.2903610000000001</v>
      </c>
      <c r="T82" s="884">
        <v>0.81396000000000002</v>
      </c>
      <c r="U82" s="884">
        <v>0.68481999999999998</v>
      </c>
      <c r="V82" s="884">
        <v>0.644733</v>
      </c>
      <c r="W82" s="884">
        <v>0.41154000000000002</v>
      </c>
      <c r="X82" s="3">
        <v>0.253832</v>
      </c>
      <c r="AC82" s="500"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7" t="s">
        <v>108</v>
      </c>
      <c r="AR82" s="65">
        <v>62</v>
      </c>
      <c r="AS82" s="65">
        <v>66</v>
      </c>
      <c r="AT82" s="65">
        <v>67</v>
      </c>
      <c r="AU82" s="65">
        <v>63</v>
      </c>
      <c r="AV82" s="65">
        <v>72</v>
      </c>
      <c r="AW82" s="65">
        <v>65</v>
      </c>
      <c r="AX82" s="494">
        <v>55</v>
      </c>
      <c r="BA82" s="483" t="s">
        <v>464</v>
      </c>
      <c r="BB82" s="11">
        <v>2018</v>
      </c>
      <c r="BC82" s="11">
        <v>2025</v>
      </c>
      <c r="BD82" s="11">
        <v>2050</v>
      </c>
      <c r="BE82" s="445"/>
      <c r="BF82" s="21" t="s">
        <v>464</v>
      </c>
      <c r="BG82" s="11">
        <v>2018</v>
      </c>
      <c r="BH82" s="11">
        <v>2025</v>
      </c>
      <c r="BI82" s="11">
        <v>2050</v>
      </c>
      <c r="BJ82" s="445"/>
      <c r="BK82" s="445"/>
      <c r="BL82" s="459"/>
    </row>
    <row r="83" spans="1:64" ht="15.75" thickTop="1" x14ac:dyDescent="0.25">
      <c r="A83" s="3" t="s">
        <v>4558</v>
      </c>
      <c r="B83" s="182" t="s">
        <v>23</v>
      </c>
      <c r="C83" s="884"/>
      <c r="D83" s="884"/>
      <c r="E83" s="884"/>
      <c r="F83" s="884"/>
      <c r="G83" s="884"/>
      <c r="H83" s="884"/>
      <c r="I83" s="884"/>
      <c r="J83" s="884">
        <v>2.562E-3</v>
      </c>
      <c r="K83" s="884">
        <v>3.5309999999999999E-3</v>
      </c>
      <c r="L83" s="884">
        <v>3.0070000000000001E-3</v>
      </c>
      <c r="M83" s="884">
        <v>3.1830000000000001E-3</v>
      </c>
      <c r="N83" s="884">
        <v>3.81E-3</v>
      </c>
      <c r="O83" s="884">
        <v>4.4549999999999998E-3</v>
      </c>
      <c r="P83" s="884">
        <v>6.5789999999999998E-3</v>
      </c>
      <c r="Q83" s="884">
        <v>6.9280000000000001E-3</v>
      </c>
      <c r="R83" s="884"/>
      <c r="S83" s="884"/>
      <c r="T83" s="884"/>
      <c r="U83" s="884"/>
      <c r="V83" s="884"/>
      <c r="W83" s="884"/>
      <c r="AC83" s="500"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7" t="s">
        <v>107</v>
      </c>
      <c r="AR83" s="65">
        <v>157</v>
      </c>
      <c r="AS83" s="65">
        <v>158</v>
      </c>
      <c r="AT83" s="65">
        <v>150</v>
      </c>
      <c r="AU83" s="65">
        <v>166</v>
      </c>
      <c r="AV83" s="65">
        <v>163</v>
      </c>
      <c r="AW83" s="65">
        <v>132</v>
      </c>
      <c r="AX83" s="494">
        <v>117</v>
      </c>
      <c r="BA83" s="507" t="s">
        <v>760</v>
      </c>
      <c r="BB83" s="445"/>
      <c r="BC83" s="445"/>
      <c r="BD83" s="445"/>
      <c r="BE83" s="445"/>
      <c r="BF83" s="249" t="s">
        <v>1086</v>
      </c>
      <c r="BG83" s="445"/>
      <c r="BH83" s="445"/>
      <c r="BI83" s="445"/>
      <c r="BJ83" s="445"/>
      <c r="BK83" s="445"/>
      <c r="BL83" s="459"/>
    </row>
    <row r="84" spans="1:64" x14ac:dyDescent="0.25">
      <c r="A84" s="3" t="s">
        <v>59</v>
      </c>
      <c r="B84" s="903" t="s">
        <v>59</v>
      </c>
      <c r="C84" s="885">
        <v>67.739475999999996</v>
      </c>
      <c r="D84" s="885">
        <v>57.665675999999998</v>
      </c>
      <c r="E84" s="885">
        <v>44.568598000000001</v>
      </c>
      <c r="F84" s="885">
        <v>50.504354999999997</v>
      </c>
      <c r="G84" s="885">
        <v>64.013114000000002</v>
      </c>
      <c r="H84" s="885">
        <v>84.687704999999994</v>
      </c>
      <c r="I84" s="885">
        <v>60.316063999999997</v>
      </c>
      <c r="J84" s="885">
        <v>62.476576999999999</v>
      </c>
      <c r="K84" s="885">
        <v>68.984480000000005</v>
      </c>
      <c r="L84" s="885">
        <v>61.831893000000001</v>
      </c>
      <c r="M84" s="885">
        <v>58.962608000000003</v>
      </c>
      <c r="N84" s="885">
        <v>55.950203999999999</v>
      </c>
      <c r="O84" s="885">
        <v>66.352500000000006</v>
      </c>
      <c r="P84" s="885">
        <v>69.676074999999997</v>
      </c>
      <c r="Q84" s="885">
        <v>68.522125000000003</v>
      </c>
      <c r="R84" s="885">
        <v>73.712078000000005</v>
      </c>
      <c r="S84" s="885">
        <v>77.911833999999999</v>
      </c>
      <c r="T84" s="885">
        <v>92.676550000000006</v>
      </c>
      <c r="U84" s="885">
        <v>98.985900000000001</v>
      </c>
      <c r="V84" s="885">
        <v>94.636471999999998</v>
      </c>
      <c r="W84" s="885">
        <v>44.002986</v>
      </c>
      <c r="X84" s="4">
        <f>SUM(X85:X86)</f>
        <v>52.107199999999999</v>
      </c>
      <c r="AC84" s="500"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7" t="s">
        <v>131</v>
      </c>
      <c r="AR84" s="65">
        <v>0</v>
      </c>
      <c r="AS84" s="65">
        <v>0</v>
      </c>
      <c r="AT84" s="65">
        <v>0</v>
      </c>
      <c r="AU84" s="65">
        <v>0</v>
      </c>
      <c r="AV84" s="65">
        <v>0</v>
      </c>
      <c r="AW84" s="65">
        <v>0</v>
      </c>
      <c r="AX84" s="494">
        <v>7</v>
      </c>
      <c r="BA84" s="529" t="s">
        <v>107</v>
      </c>
      <c r="BB84" s="520">
        <v>8.4</v>
      </c>
      <c r="BC84" s="520">
        <v>10.199999999999999</v>
      </c>
      <c r="BD84" s="520">
        <v>12.9</v>
      </c>
      <c r="BE84" s="445"/>
      <c r="BF84" s="397" t="s">
        <v>107</v>
      </c>
      <c r="BG84" s="406">
        <v>165</v>
      </c>
      <c r="BH84" s="406">
        <v>175</v>
      </c>
      <c r="BI84" s="406">
        <v>159</v>
      </c>
      <c r="BJ84" s="445"/>
      <c r="BK84" s="445"/>
      <c r="BL84" s="459"/>
    </row>
    <row r="85" spans="1:64" x14ac:dyDescent="0.25">
      <c r="A85" s="3" t="s">
        <v>4559</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0"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7" t="s">
        <v>132</v>
      </c>
      <c r="AR85" s="65">
        <v>0</v>
      </c>
      <c r="AS85" s="65">
        <v>0</v>
      </c>
      <c r="AT85" s="65">
        <v>0</v>
      </c>
      <c r="AU85" s="65">
        <v>0</v>
      </c>
      <c r="AV85" s="65">
        <v>0</v>
      </c>
      <c r="AW85" s="65">
        <v>0</v>
      </c>
      <c r="AX85" s="494">
        <v>0</v>
      </c>
      <c r="BA85" s="529" t="s">
        <v>247</v>
      </c>
      <c r="BB85" s="520">
        <v>14.9</v>
      </c>
      <c r="BC85" s="520">
        <v>17.2</v>
      </c>
      <c r="BD85" s="520">
        <v>23.6</v>
      </c>
      <c r="BE85" s="445"/>
      <c r="BF85" s="397" t="s">
        <v>247</v>
      </c>
      <c r="BG85" s="406">
        <v>816</v>
      </c>
      <c r="BH85" s="406">
        <v>423</v>
      </c>
      <c r="BI85" s="406">
        <v>281</v>
      </c>
      <c r="BJ85" s="445"/>
      <c r="BK85" s="445"/>
      <c r="BL85" s="459"/>
    </row>
    <row r="86" spans="1:64" x14ac:dyDescent="0.25">
      <c r="A86" s="3" t="s">
        <v>4560</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1" t="s">
        <v>190</v>
      </c>
      <c r="AD86" s="490">
        <v>0</v>
      </c>
      <c r="AE86" s="490">
        <v>0</v>
      </c>
      <c r="AF86" s="490">
        <v>0</v>
      </c>
      <c r="AG86" s="490">
        <v>0</v>
      </c>
      <c r="AH86" s="490">
        <v>0</v>
      </c>
      <c r="AI86" s="490">
        <v>0</v>
      </c>
      <c r="AJ86" s="490">
        <v>0</v>
      </c>
      <c r="AK86" s="490">
        <v>1</v>
      </c>
      <c r="AL86" s="490">
        <v>1</v>
      </c>
      <c r="AM86" s="490">
        <v>0</v>
      </c>
      <c r="AN86" s="490">
        <v>0</v>
      </c>
      <c r="AO86" s="490">
        <v>1</v>
      </c>
      <c r="AP86" s="490">
        <v>0</v>
      </c>
      <c r="AQ86" s="397" t="s">
        <v>133</v>
      </c>
      <c r="AR86" s="65">
        <v>0</v>
      </c>
      <c r="AS86" s="65">
        <v>0</v>
      </c>
      <c r="AT86" s="65">
        <v>0</v>
      </c>
      <c r="AU86" s="65">
        <v>0</v>
      </c>
      <c r="AV86" s="65">
        <v>0</v>
      </c>
      <c r="AW86" s="65">
        <v>0</v>
      </c>
      <c r="AX86" s="494">
        <v>0</v>
      </c>
      <c r="BA86" s="529" t="s">
        <v>567</v>
      </c>
      <c r="BB86" s="520">
        <v>11.8</v>
      </c>
      <c r="BC86" s="520">
        <v>14</v>
      </c>
      <c r="BD86" s="520">
        <v>18.2</v>
      </c>
      <c r="BE86" s="445"/>
      <c r="BF86" s="397" t="s">
        <v>567</v>
      </c>
      <c r="BG86" s="406">
        <v>386</v>
      </c>
      <c r="BH86" s="406">
        <v>258</v>
      </c>
      <c r="BI86" s="406">
        <v>180</v>
      </c>
      <c r="BJ86" s="445"/>
      <c r="BK86" s="445"/>
      <c r="BL86" s="459"/>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9"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7" t="s">
        <v>698</v>
      </c>
      <c r="AR87" s="65">
        <v>0</v>
      </c>
      <c r="AS87" s="65">
        <v>0</v>
      </c>
      <c r="AT87" s="65">
        <v>0</v>
      </c>
      <c r="AU87" s="65">
        <v>0</v>
      </c>
      <c r="AV87" s="65">
        <v>0</v>
      </c>
      <c r="AW87" s="65">
        <v>0</v>
      </c>
      <c r="AX87" s="494">
        <v>0</v>
      </c>
      <c r="BA87" s="529" t="s">
        <v>757</v>
      </c>
      <c r="BB87" s="520">
        <v>9.1999999999999993</v>
      </c>
      <c r="BC87" s="520">
        <v>11.3</v>
      </c>
      <c r="BD87" s="520">
        <v>14.4</v>
      </c>
      <c r="BE87" s="445"/>
      <c r="BF87" s="397" t="s">
        <v>757</v>
      </c>
      <c r="BG87" s="406">
        <v>165</v>
      </c>
      <c r="BH87" s="406">
        <v>167</v>
      </c>
      <c r="BI87" s="406">
        <v>154</v>
      </c>
      <c r="BJ87" s="445"/>
      <c r="BK87" s="445"/>
      <c r="BL87" s="459"/>
    </row>
    <row r="88" spans="1:64" x14ac:dyDescent="0.25">
      <c r="A88" s="3" t="s">
        <v>4561</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0"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9">
        <v>45822</v>
      </c>
      <c r="AS88" s="479">
        <v>46486</v>
      </c>
      <c r="AT88" s="479">
        <v>46962</v>
      </c>
      <c r="AU88" s="479">
        <v>52738</v>
      </c>
      <c r="AV88" s="479">
        <v>62099</v>
      </c>
      <c r="AW88" s="479">
        <v>62276</v>
      </c>
      <c r="AX88" s="493">
        <v>64450</v>
      </c>
      <c r="BA88" s="529" t="s">
        <v>758</v>
      </c>
      <c r="BB88" s="520">
        <v>8</v>
      </c>
      <c r="BC88" s="520">
        <v>10.1</v>
      </c>
      <c r="BD88" s="520">
        <v>13.4</v>
      </c>
      <c r="BE88" s="445"/>
      <c r="BF88" s="397" t="s">
        <v>758</v>
      </c>
      <c r="BG88" s="406">
        <v>257</v>
      </c>
      <c r="BH88" s="406">
        <v>198</v>
      </c>
      <c r="BI88" s="406">
        <v>170</v>
      </c>
      <c r="BJ88" s="445"/>
      <c r="BK88" s="445"/>
      <c r="BL88" s="459"/>
    </row>
    <row r="89" spans="1:64" x14ac:dyDescent="0.25">
      <c r="A89" s="3" t="s">
        <v>4562</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0"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7" t="s">
        <v>108</v>
      </c>
      <c r="AR89" s="65">
        <v>11079</v>
      </c>
      <c r="AS89" s="65">
        <v>11521</v>
      </c>
      <c r="AT89" s="65">
        <v>11847</v>
      </c>
      <c r="AU89" s="65">
        <v>13947</v>
      </c>
      <c r="AV89" s="65">
        <v>17263</v>
      </c>
      <c r="AW89" s="65">
        <v>18576</v>
      </c>
      <c r="AX89" s="494">
        <v>20085</v>
      </c>
      <c r="BA89" s="529" t="s">
        <v>241</v>
      </c>
      <c r="BB89" s="520">
        <v>6.6</v>
      </c>
      <c r="BC89" s="520">
        <v>7.9</v>
      </c>
      <c r="BD89" s="520">
        <v>10.199999999999999</v>
      </c>
      <c r="BE89" s="445"/>
      <c r="BF89" s="397" t="s">
        <v>241</v>
      </c>
      <c r="BG89" s="406">
        <v>208</v>
      </c>
      <c r="BH89" s="406">
        <v>181</v>
      </c>
      <c r="BI89" s="406">
        <v>170</v>
      </c>
      <c r="BJ89" s="445"/>
      <c r="BK89" s="445"/>
      <c r="BL89" s="459"/>
    </row>
    <row r="90" spans="1:64" x14ac:dyDescent="0.25">
      <c r="A90" s="3" t="s">
        <v>4563</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0" t="s">
        <v>131</v>
      </c>
      <c r="AD90" s="201">
        <v>15</v>
      </c>
      <c r="AE90" s="201">
        <v>11</v>
      </c>
      <c r="AF90" s="201">
        <v>0</v>
      </c>
      <c r="AG90" s="201">
        <v>0</v>
      </c>
      <c r="AH90" s="201">
        <v>0</v>
      </c>
      <c r="AI90" s="201">
        <v>0</v>
      </c>
      <c r="AJ90" s="201">
        <v>0</v>
      </c>
      <c r="AK90" s="201">
        <v>0</v>
      </c>
      <c r="AL90" s="201">
        <v>0</v>
      </c>
      <c r="AM90" s="201">
        <v>0</v>
      </c>
      <c r="AN90" s="201">
        <v>0</v>
      </c>
      <c r="AO90" s="201">
        <v>176</v>
      </c>
      <c r="AP90" s="201">
        <v>507</v>
      </c>
      <c r="AQ90" s="397" t="s">
        <v>107</v>
      </c>
      <c r="AR90" s="65">
        <v>34743</v>
      </c>
      <c r="AS90" s="65">
        <v>34965</v>
      </c>
      <c r="AT90" s="65">
        <v>35114</v>
      </c>
      <c r="AU90" s="65">
        <v>38790</v>
      </c>
      <c r="AV90" s="65">
        <v>44835</v>
      </c>
      <c r="AW90" s="65">
        <v>43700</v>
      </c>
      <c r="AX90" s="494">
        <v>44352</v>
      </c>
      <c r="BA90" s="507" t="s">
        <v>759</v>
      </c>
      <c r="BB90" s="520"/>
      <c r="BC90" s="520"/>
      <c r="BD90" s="520"/>
      <c r="BE90" s="445"/>
      <c r="BF90" s="249" t="s">
        <v>1087</v>
      </c>
      <c r="BG90" s="406"/>
      <c r="BH90" s="406"/>
      <c r="BI90" s="406"/>
      <c r="BJ90" s="445"/>
      <c r="BK90" s="445"/>
      <c r="BL90" s="459"/>
    </row>
    <row r="91" spans="1:64" x14ac:dyDescent="0.25">
      <c r="A91" s="3" t="s">
        <v>4564</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0" t="s">
        <v>132</v>
      </c>
      <c r="AD91" s="201">
        <v>0</v>
      </c>
      <c r="AE91" s="201">
        <v>0</v>
      </c>
      <c r="AF91" s="201">
        <v>0</v>
      </c>
      <c r="AG91" s="201">
        <v>0</v>
      </c>
      <c r="AH91" s="201">
        <v>0</v>
      </c>
      <c r="AI91" s="201">
        <v>0</v>
      </c>
      <c r="AJ91" s="201">
        <v>0</v>
      </c>
      <c r="AK91" s="201">
        <v>0</v>
      </c>
      <c r="AL91" s="201">
        <v>0</v>
      </c>
      <c r="AM91" s="201">
        <v>0</v>
      </c>
      <c r="AN91" s="201">
        <v>5029</v>
      </c>
      <c r="AO91" s="201">
        <v>2584</v>
      </c>
      <c r="AP91" s="201">
        <v>2045</v>
      </c>
      <c r="AQ91" s="397" t="s">
        <v>131</v>
      </c>
      <c r="AR91" s="65">
        <v>0</v>
      </c>
      <c r="AS91" s="65">
        <v>0</v>
      </c>
      <c r="AT91" s="65">
        <v>0</v>
      </c>
      <c r="AU91" s="65">
        <v>0</v>
      </c>
      <c r="AV91" s="65">
        <v>0</v>
      </c>
      <c r="AW91" s="65">
        <v>0</v>
      </c>
      <c r="AX91" s="494">
        <v>13</v>
      </c>
      <c r="BA91" s="529" t="s">
        <v>107</v>
      </c>
      <c r="BB91" s="520">
        <v>8.4</v>
      </c>
      <c r="BC91" s="520">
        <v>10.199999999999999</v>
      </c>
      <c r="BD91" s="520">
        <v>12.9</v>
      </c>
      <c r="BE91" s="445"/>
      <c r="BF91" s="397" t="s">
        <v>107</v>
      </c>
      <c r="BG91" s="406">
        <v>165</v>
      </c>
      <c r="BH91" s="406">
        <v>175</v>
      </c>
      <c r="BI91" s="406">
        <v>159</v>
      </c>
      <c r="BJ91" s="445"/>
      <c r="BK91" s="445"/>
      <c r="BL91" s="459"/>
    </row>
    <row r="92" spans="1:64" x14ac:dyDescent="0.25">
      <c r="A92" s="3" t="s">
        <v>4565</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0"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7" t="s">
        <v>132</v>
      </c>
      <c r="AR92" s="65">
        <v>0</v>
      </c>
      <c r="AS92" s="65">
        <v>0</v>
      </c>
      <c r="AT92" s="65">
        <v>0</v>
      </c>
      <c r="AU92" s="65">
        <v>0</v>
      </c>
      <c r="AV92" s="65">
        <v>0</v>
      </c>
      <c r="AW92" s="65">
        <v>0</v>
      </c>
      <c r="AX92" s="494">
        <v>0</v>
      </c>
      <c r="BA92" s="529" t="s">
        <v>247</v>
      </c>
      <c r="BB92" s="520">
        <v>15.2</v>
      </c>
      <c r="BC92" s="520">
        <v>18.100000000000001</v>
      </c>
      <c r="BD92" s="520">
        <v>24.2</v>
      </c>
      <c r="BE92" s="445"/>
      <c r="BF92" s="397" t="s">
        <v>247</v>
      </c>
      <c r="BG92" s="406">
        <v>579</v>
      </c>
      <c r="BH92" s="406">
        <v>316</v>
      </c>
      <c r="BI92" s="406">
        <v>228</v>
      </c>
      <c r="BJ92" s="445"/>
      <c r="BK92" s="445"/>
      <c r="BL92" s="459"/>
    </row>
    <row r="93" spans="1:64" x14ac:dyDescent="0.25">
      <c r="A93" s="3" t="s">
        <v>4566</v>
      </c>
      <c r="B93" s="170" t="s">
        <v>4384</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6" t="s">
        <v>190</v>
      </c>
      <c r="AD93" s="35">
        <v>0</v>
      </c>
      <c r="AE93" s="35">
        <v>1</v>
      </c>
      <c r="AF93" s="35">
        <v>0</v>
      </c>
      <c r="AG93" s="35">
        <v>0</v>
      </c>
      <c r="AH93" s="35">
        <v>0</v>
      </c>
      <c r="AI93" s="35">
        <v>0</v>
      </c>
      <c r="AJ93" s="35">
        <v>0</v>
      </c>
      <c r="AK93" s="35">
        <v>28</v>
      </c>
      <c r="AL93" s="35">
        <v>93</v>
      </c>
      <c r="AM93" s="35">
        <v>13</v>
      </c>
      <c r="AN93" s="35">
        <v>0</v>
      </c>
      <c r="AO93" s="35">
        <v>0</v>
      </c>
      <c r="AP93" s="35">
        <v>0</v>
      </c>
      <c r="AQ93" s="397" t="s">
        <v>133</v>
      </c>
      <c r="AR93" s="65">
        <v>0</v>
      </c>
      <c r="AS93" s="65">
        <v>0</v>
      </c>
      <c r="AT93" s="65">
        <v>0</v>
      </c>
      <c r="AU93" s="65">
        <v>0</v>
      </c>
      <c r="AV93" s="65">
        <v>0</v>
      </c>
      <c r="AW93" s="65">
        <v>0</v>
      </c>
      <c r="AX93" s="494">
        <v>0</v>
      </c>
      <c r="BA93" s="529" t="s">
        <v>567</v>
      </c>
      <c r="BB93" s="520">
        <v>12</v>
      </c>
      <c r="BC93" s="520">
        <v>14.1</v>
      </c>
      <c r="BD93" s="520">
        <v>18.2</v>
      </c>
      <c r="BE93" s="445"/>
      <c r="BF93" s="397" t="s">
        <v>567</v>
      </c>
      <c r="BG93" s="406">
        <v>329</v>
      </c>
      <c r="BH93" s="406">
        <v>241</v>
      </c>
      <c r="BI93" s="406">
        <v>175</v>
      </c>
      <c r="BJ93" s="445"/>
      <c r="BK93" s="445"/>
      <c r="BL93" s="459"/>
    </row>
    <row r="94" spans="1:64" x14ac:dyDescent="0.25">
      <c r="B94"/>
      <c r="C94"/>
      <c r="D94"/>
      <c r="E94"/>
      <c r="F94"/>
      <c r="G94"/>
      <c r="H94"/>
      <c r="I94"/>
      <c r="J94"/>
      <c r="K94"/>
      <c r="L94"/>
      <c r="M94"/>
      <c r="N94"/>
      <c r="O94"/>
      <c r="P94"/>
      <c r="Q94"/>
      <c r="R94"/>
      <c r="S94"/>
      <c r="T94"/>
      <c r="U94"/>
      <c r="V94"/>
      <c r="W94"/>
      <c r="AC94" s="497" t="s">
        <v>135</v>
      </c>
      <c r="AD94" s="65"/>
      <c r="AE94" s="65"/>
      <c r="AF94" s="65"/>
      <c r="AG94" s="65"/>
      <c r="AH94" s="65"/>
      <c r="AI94" s="65"/>
      <c r="AJ94" s="65"/>
      <c r="AK94" s="65"/>
      <c r="AL94" s="65"/>
      <c r="AM94" s="65"/>
      <c r="AN94" s="65"/>
      <c r="AO94" s="445"/>
      <c r="AP94" s="445"/>
      <c r="AQ94" s="397" t="s">
        <v>698</v>
      </c>
      <c r="AR94" s="65">
        <v>0</v>
      </c>
      <c r="AS94" s="65">
        <v>0</v>
      </c>
      <c r="AT94" s="65">
        <v>1</v>
      </c>
      <c r="AU94" s="65">
        <v>1</v>
      </c>
      <c r="AV94" s="65">
        <v>1</v>
      </c>
      <c r="AW94" s="65">
        <v>0</v>
      </c>
      <c r="AX94" s="494">
        <v>0</v>
      </c>
      <c r="BA94" s="529" t="s">
        <v>757</v>
      </c>
      <c r="BB94" s="520">
        <v>9.1999999999999993</v>
      </c>
      <c r="BC94" s="520">
        <v>11.3</v>
      </c>
      <c r="BD94" s="520">
        <v>14.4</v>
      </c>
      <c r="BE94" s="445"/>
      <c r="BF94" s="397" t="s">
        <v>757</v>
      </c>
      <c r="BG94" s="406">
        <v>165</v>
      </c>
      <c r="BH94" s="406">
        <v>167</v>
      </c>
      <c r="BI94" s="406">
        <v>154</v>
      </c>
      <c r="BJ94" s="445"/>
      <c r="BK94" s="445"/>
      <c r="BL94" s="459"/>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7" t="s">
        <v>136</v>
      </c>
      <c r="AD95" s="65"/>
      <c r="AE95" s="65"/>
      <c r="AF95" s="65"/>
      <c r="AG95" s="65"/>
      <c r="AH95" s="65"/>
      <c r="AI95" s="65"/>
      <c r="AJ95" s="65"/>
      <c r="AK95" s="65"/>
      <c r="AL95" s="65"/>
      <c r="AM95" s="65"/>
      <c r="AN95" s="65"/>
      <c r="AO95" s="445"/>
      <c r="AP95" s="445"/>
      <c r="AQ95" s="249" t="s">
        <v>697</v>
      </c>
      <c r="AR95" s="479">
        <v>35348</v>
      </c>
      <c r="AS95" s="479">
        <v>35966</v>
      </c>
      <c r="AT95" s="479">
        <v>36396</v>
      </c>
      <c r="AU95" s="479">
        <v>38346</v>
      </c>
      <c r="AV95" s="479">
        <v>39912</v>
      </c>
      <c r="AW95" s="479">
        <v>37794</v>
      </c>
      <c r="AX95" s="493">
        <v>35096</v>
      </c>
      <c r="BA95" s="529" t="s">
        <v>758</v>
      </c>
      <c r="BB95" s="520">
        <v>8.1</v>
      </c>
      <c r="BC95" s="520">
        <v>10.199999999999999</v>
      </c>
      <c r="BD95" s="520">
        <v>13.4</v>
      </c>
      <c r="BE95" s="445"/>
      <c r="BF95" s="397" t="s">
        <v>758</v>
      </c>
      <c r="BG95" s="406">
        <v>220</v>
      </c>
      <c r="BH95" s="406">
        <v>183</v>
      </c>
      <c r="BI95" s="406">
        <v>162</v>
      </c>
      <c r="BJ95" s="445"/>
      <c r="BK95" s="445"/>
      <c r="BL95" s="459"/>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4028</v>
      </c>
      <c r="Z96" s="14"/>
      <c r="AC96" s="497" t="s">
        <v>137</v>
      </c>
      <c r="AD96" s="65"/>
      <c r="AE96" s="65"/>
      <c r="AF96" s="65"/>
      <c r="AG96" s="65"/>
      <c r="AH96" s="65"/>
      <c r="AI96" s="65"/>
      <c r="AJ96" s="65"/>
      <c r="AK96" s="65"/>
      <c r="AL96" s="65"/>
      <c r="AM96" s="65"/>
      <c r="AN96" s="65"/>
      <c r="AO96" s="445"/>
      <c r="AP96" s="445"/>
      <c r="AQ96" s="397" t="s">
        <v>108</v>
      </c>
      <c r="AR96" s="65">
        <v>25409</v>
      </c>
      <c r="AS96" s="65">
        <v>26918</v>
      </c>
      <c r="AT96" s="65">
        <v>28022</v>
      </c>
      <c r="AU96" s="65">
        <v>29829</v>
      </c>
      <c r="AV96" s="65">
        <v>30918</v>
      </c>
      <c r="AW96" s="65">
        <v>29738</v>
      </c>
      <c r="AX96" s="494">
        <v>28045</v>
      </c>
      <c r="BA96" s="529" t="s">
        <v>241</v>
      </c>
      <c r="BB96" s="520">
        <v>6.6</v>
      </c>
      <c r="BC96" s="520">
        <v>8</v>
      </c>
      <c r="BD96" s="520">
        <v>10.3</v>
      </c>
      <c r="BE96" s="445"/>
      <c r="BF96" s="397" t="s">
        <v>241</v>
      </c>
      <c r="BG96" s="406">
        <v>191</v>
      </c>
      <c r="BH96" s="406">
        <v>172</v>
      </c>
      <c r="BI96" s="406">
        <v>164</v>
      </c>
      <c r="BJ96" s="445"/>
      <c r="BK96" s="445"/>
      <c r="BL96" s="459"/>
    </row>
    <row r="97" spans="1:64" ht="15.75" thickTop="1" x14ac:dyDescent="0.25">
      <c r="B97" s="168" t="s">
        <v>55</v>
      </c>
      <c r="Y97" s="3"/>
      <c r="Z97" s="3"/>
      <c r="AC97" s="497" t="s">
        <v>138</v>
      </c>
      <c r="AD97" s="65"/>
      <c r="AE97" s="65"/>
      <c r="AF97" s="65"/>
      <c r="AG97" s="65"/>
      <c r="AH97" s="65"/>
      <c r="AI97" s="65"/>
      <c r="AJ97" s="65"/>
      <c r="AK97" s="65"/>
      <c r="AL97" s="65"/>
      <c r="AM97" s="65"/>
      <c r="AN97" s="65"/>
      <c r="AO97" s="445"/>
      <c r="AP97" s="445"/>
      <c r="AQ97" s="397" t="s">
        <v>107</v>
      </c>
      <c r="AR97" s="65">
        <v>9936</v>
      </c>
      <c r="AS97" s="65">
        <v>9045</v>
      </c>
      <c r="AT97" s="65">
        <v>8371</v>
      </c>
      <c r="AU97" s="65">
        <v>8512</v>
      </c>
      <c r="AV97" s="65">
        <v>8986</v>
      </c>
      <c r="AW97" s="65">
        <v>8045</v>
      </c>
      <c r="AX97" s="494">
        <v>7041</v>
      </c>
      <c r="BA97" s="507" t="s">
        <v>761</v>
      </c>
      <c r="BB97" s="520"/>
      <c r="BC97" s="520"/>
      <c r="BD97" s="520"/>
      <c r="BE97" s="445"/>
      <c r="BF97" s="249" t="s">
        <v>1088</v>
      </c>
      <c r="BG97" s="406"/>
      <c r="BH97" s="406"/>
      <c r="BI97" s="406"/>
      <c r="BJ97" s="445"/>
      <c r="BK97" s="445"/>
      <c r="BL97" s="459"/>
    </row>
    <row r="98" spans="1:64" x14ac:dyDescent="0.25">
      <c r="A98" s="3" t="s">
        <v>4567</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7" t="s">
        <v>139</v>
      </c>
      <c r="AD98" s="65"/>
      <c r="AE98" s="65"/>
      <c r="AF98" s="65"/>
      <c r="AG98" s="65"/>
      <c r="AH98" s="65"/>
      <c r="AI98" s="65"/>
      <c r="AJ98" s="65"/>
      <c r="AK98" s="65"/>
      <c r="AL98" s="65"/>
      <c r="AM98" s="65"/>
      <c r="AN98" s="65"/>
      <c r="AO98" s="445"/>
      <c r="AP98" s="445"/>
      <c r="AQ98" s="397" t="s">
        <v>131</v>
      </c>
      <c r="AR98" s="65">
        <v>0</v>
      </c>
      <c r="AS98" s="65">
        <v>0</v>
      </c>
      <c r="AT98" s="65">
        <v>0</v>
      </c>
      <c r="AU98" s="65">
        <v>0</v>
      </c>
      <c r="AV98" s="65">
        <v>0</v>
      </c>
      <c r="AW98" s="65">
        <v>0</v>
      </c>
      <c r="AX98" s="494">
        <v>0</v>
      </c>
      <c r="BA98" s="529" t="s">
        <v>107</v>
      </c>
      <c r="BB98" s="520">
        <v>6.6</v>
      </c>
      <c r="BC98" s="520">
        <v>8.1999999999999993</v>
      </c>
      <c r="BD98" s="520">
        <v>10.7</v>
      </c>
      <c r="BE98" s="445"/>
      <c r="BF98" s="397" t="s">
        <v>107</v>
      </c>
      <c r="BG98" s="406">
        <v>153</v>
      </c>
      <c r="BH98" s="406">
        <v>163</v>
      </c>
      <c r="BI98" s="406">
        <v>146</v>
      </c>
      <c r="BJ98" s="445"/>
      <c r="BK98" s="445"/>
      <c r="BL98" s="459"/>
    </row>
    <row r="99" spans="1:64" x14ac:dyDescent="0.25">
      <c r="A99" s="3" t="s">
        <v>4568</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7"/>
      <c r="AD99" s="65"/>
      <c r="AE99" s="65"/>
      <c r="AF99" s="65"/>
      <c r="AG99" s="65"/>
      <c r="AH99" s="65"/>
      <c r="AI99" s="65"/>
      <c r="AJ99" s="65"/>
      <c r="AK99" s="65"/>
      <c r="AL99" s="65"/>
      <c r="AM99" s="65"/>
      <c r="AN99" s="65"/>
      <c r="AO99" s="445"/>
      <c r="AP99" s="445"/>
      <c r="AQ99" s="397" t="s">
        <v>132</v>
      </c>
      <c r="AR99" s="65">
        <v>0</v>
      </c>
      <c r="AS99" s="65">
        <v>0</v>
      </c>
      <c r="AT99" s="65">
        <v>0</v>
      </c>
      <c r="AU99" s="65">
        <v>0</v>
      </c>
      <c r="AV99" s="65">
        <v>0</v>
      </c>
      <c r="AW99" s="65">
        <v>0</v>
      </c>
      <c r="AX99" s="494">
        <v>0</v>
      </c>
      <c r="BA99" s="529" t="s">
        <v>247</v>
      </c>
      <c r="BB99" s="520">
        <v>15.9</v>
      </c>
      <c r="BC99" s="520">
        <v>18.7</v>
      </c>
      <c r="BD99" s="520">
        <v>25.3</v>
      </c>
      <c r="BE99" s="445"/>
      <c r="BF99" s="397" t="s">
        <v>247</v>
      </c>
      <c r="BG99" s="406">
        <v>374</v>
      </c>
      <c r="BH99" s="406">
        <v>223</v>
      </c>
      <c r="BI99" s="406">
        <v>171</v>
      </c>
      <c r="BJ99" s="445"/>
      <c r="BK99" s="445"/>
      <c r="BL99" s="459"/>
    </row>
    <row r="100" spans="1:64" ht="15.75" x14ac:dyDescent="0.25">
      <c r="A100" s="3" t="s">
        <v>4569</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2" t="s">
        <v>690</v>
      </c>
      <c r="AD100" s="373"/>
      <c r="AE100" s="373"/>
      <c r="AF100" s="373"/>
      <c r="AG100" s="373"/>
      <c r="AH100" s="373"/>
      <c r="AI100" s="373"/>
      <c r="AJ100" s="373"/>
      <c r="AK100" s="373"/>
      <c r="AL100" s="373"/>
      <c r="AM100" s="261"/>
      <c r="AN100" s="261"/>
      <c r="AO100" s="261"/>
      <c r="AP100" s="445"/>
      <c r="AQ100" s="397" t="s">
        <v>133</v>
      </c>
      <c r="AR100" s="65">
        <v>0</v>
      </c>
      <c r="AS100" s="65">
        <v>0</v>
      </c>
      <c r="AT100" s="65">
        <v>0</v>
      </c>
      <c r="AU100" s="65">
        <v>0</v>
      </c>
      <c r="AV100" s="65">
        <v>0</v>
      </c>
      <c r="AW100" s="65">
        <v>0</v>
      </c>
      <c r="AX100" s="494">
        <v>0</v>
      </c>
      <c r="BA100" s="529" t="s">
        <v>567</v>
      </c>
      <c r="BB100" s="520">
        <v>12.1</v>
      </c>
      <c r="BC100" s="520">
        <v>14.2</v>
      </c>
      <c r="BD100" s="520">
        <v>18.8</v>
      </c>
      <c r="BE100" s="445"/>
      <c r="BF100" s="397" t="s">
        <v>567</v>
      </c>
      <c r="BG100" s="406">
        <v>282</v>
      </c>
      <c r="BH100" s="406">
        <v>214</v>
      </c>
      <c r="BI100" s="406">
        <v>153</v>
      </c>
      <c r="BJ100" s="445"/>
      <c r="BK100" s="445"/>
      <c r="BL100" s="459"/>
    </row>
    <row r="101" spans="1:64" ht="15.75" thickBot="1" x14ac:dyDescent="0.3">
      <c r="A101" s="3" t="s">
        <v>4570</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3" t="s">
        <v>672</v>
      </c>
      <c r="AD101" s="11">
        <v>2010</v>
      </c>
      <c r="AE101" s="11">
        <v>2011</v>
      </c>
      <c r="AF101" s="11">
        <v>2012</v>
      </c>
      <c r="AG101" s="11">
        <v>2013</v>
      </c>
      <c r="AH101" s="11">
        <v>2014</v>
      </c>
      <c r="AI101" s="11">
        <v>2015</v>
      </c>
      <c r="AJ101" s="11">
        <v>2016</v>
      </c>
      <c r="AK101" s="11">
        <v>2017</v>
      </c>
      <c r="AL101" s="11">
        <v>2018</v>
      </c>
      <c r="AM101" s="65"/>
      <c r="AN101" s="65"/>
      <c r="AO101" s="445"/>
      <c r="AP101" s="445"/>
      <c r="AQ101" s="397" t="s">
        <v>698</v>
      </c>
      <c r="AR101" s="65">
        <v>3</v>
      </c>
      <c r="AS101" s="65">
        <v>3</v>
      </c>
      <c r="AT101" s="65">
        <v>3</v>
      </c>
      <c r="AU101" s="65">
        <v>5</v>
      </c>
      <c r="AV101" s="65">
        <v>8</v>
      </c>
      <c r="AW101" s="65">
        <v>11</v>
      </c>
      <c r="AX101" s="494">
        <v>10</v>
      </c>
      <c r="BA101" s="529" t="s">
        <v>758</v>
      </c>
      <c r="BB101" s="520">
        <v>8.4</v>
      </c>
      <c r="BC101" s="520">
        <v>10.7</v>
      </c>
      <c r="BD101" s="520">
        <v>14.8</v>
      </c>
      <c r="BE101" s="445"/>
      <c r="BF101" s="397" t="s">
        <v>757</v>
      </c>
      <c r="BG101" s="406">
        <v>152</v>
      </c>
      <c r="BH101" s="406">
        <v>154</v>
      </c>
      <c r="BI101" s="406">
        <v>140</v>
      </c>
      <c r="BJ101" s="445"/>
      <c r="BK101" s="445"/>
      <c r="BL101" s="459"/>
    </row>
    <row r="102" spans="1:64" ht="15" customHeight="1" thickTop="1" x14ac:dyDescent="0.25">
      <c r="A102" s="3" t="s">
        <v>4571</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7" t="s">
        <v>685</v>
      </c>
      <c r="AD102" s="65"/>
      <c r="AE102" s="65"/>
      <c r="AF102" s="65"/>
      <c r="AG102" s="65"/>
      <c r="AH102" s="445"/>
      <c r="AI102" s="445"/>
      <c r="AJ102" s="445"/>
      <c r="AK102" s="445"/>
      <c r="AL102" s="445"/>
      <c r="AM102" s="65"/>
      <c r="AN102" s="65"/>
      <c r="AO102" s="445"/>
      <c r="AP102" s="445"/>
      <c r="AQ102" s="249" t="s">
        <v>705</v>
      </c>
      <c r="AR102" s="479">
        <v>41516</v>
      </c>
      <c r="AS102" s="479">
        <v>42995</v>
      </c>
      <c r="AT102" s="479">
        <v>44527</v>
      </c>
      <c r="AU102" s="479">
        <v>46768</v>
      </c>
      <c r="AV102" s="479">
        <v>50447</v>
      </c>
      <c r="AW102" s="479">
        <v>48169</v>
      </c>
      <c r="AX102" s="493">
        <v>47932</v>
      </c>
      <c r="BA102" s="529" t="s">
        <v>757</v>
      </c>
      <c r="BB102" s="520">
        <v>8.4</v>
      </c>
      <c r="BC102" s="520">
        <v>10.199999999999999</v>
      </c>
      <c r="BD102" s="520">
        <v>13.1</v>
      </c>
      <c r="BE102" s="445"/>
      <c r="BF102" s="397" t="s">
        <v>758</v>
      </c>
      <c r="BG102" s="406">
        <v>178</v>
      </c>
      <c r="BH102" s="406">
        <v>162</v>
      </c>
      <c r="BI102" s="406">
        <v>149</v>
      </c>
      <c r="BJ102" s="445"/>
      <c r="BK102" s="445"/>
      <c r="BL102" s="459"/>
    </row>
    <row r="103" spans="1:64" x14ac:dyDescent="0.25">
      <c r="A103" s="3" t="s">
        <v>4572</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8"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5"/>
      <c r="AP103" s="445"/>
      <c r="AQ103" s="397" t="s">
        <v>108</v>
      </c>
      <c r="AR103" s="65">
        <v>7949</v>
      </c>
      <c r="AS103" s="65">
        <v>8329</v>
      </c>
      <c r="AT103" s="65">
        <v>8912</v>
      </c>
      <c r="AU103" s="65">
        <v>9638</v>
      </c>
      <c r="AV103" s="65">
        <v>10528</v>
      </c>
      <c r="AW103" s="65">
        <v>10523</v>
      </c>
      <c r="AX103" s="494">
        <v>11346</v>
      </c>
      <c r="BA103" s="529" t="s">
        <v>241</v>
      </c>
      <c r="BB103" s="520">
        <v>5.2</v>
      </c>
      <c r="BC103" s="520">
        <v>6.4</v>
      </c>
      <c r="BD103" s="520">
        <v>8.6</v>
      </c>
      <c r="BE103" s="445"/>
      <c r="BF103" s="397" t="s">
        <v>241</v>
      </c>
      <c r="BG103" s="406">
        <v>170</v>
      </c>
      <c r="BH103" s="406">
        <v>155</v>
      </c>
      <c r="BI103" s="406">
        <v>147</v>
      </c>
      <c r="BJ103" s="445"/>
      <c r="BK103" s="445"/>
      <c r="BL103" s="459"/>
    </row>
    <row r="104" spans="1:64" x14ac:dyDescent="0.25">
      <c r="A104" s="3" t="s">
        <v>4573</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8"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5"/>
      <c r="AP104" s="445"/>
      <c r="AQ104" s="397" t="s">
        <v>107</v>
      </c>
      <c r="AR104" s="65">
        <v>33565</v>
      </c>
      <c r="AS104" s="65">
        <v>34665</v>
      </c>
      <c r="AT104" s="65">
        <v>35615</v>
      </c>
      <c r="AU104" s="65">
        <v>37129</v>
      </c>
      <c r="AV104" s="65">
        <v>39918</v>
      </c>
      <c r="AW104" s="65">
        <v>37646</v>
      </c>
      <c r="AX104" s="494">
        <v>36586</v>
      </c>
      <c r="BA104" s="507" t="s">
        <v>762</v>
      </c>
      <c r="BB104" s="445"/>
      <c r="BC104" s="445"/>
      <c r="BD104" s="445"/>
      <c r="BE104" s="445"/>
      <c r="BF104" s="249" t="s">
        <v>1089</v>
      </c>
      <c r="BG104" s="406"/>
      <c r="BH104" s="406"/>
      <c r="BI104" s="406"/>
      <c r="BJ104" s="445"/>
      <c r="BK104" s="445"/>
      <c r="BL104" s="459"/>
    </row>
    <row r="105" spans="1:64" x14ac:dyDescent="0.25">
      <c r="A105" s="3" t="s">
        <v>4574</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8"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5"/>
      <c r="AP105" s="445"/>
      <c r="AQ105" s="397" t="s">
        <v>131</v>
      </c>
      <c r="AR105" s="65">
        <v>1</v>
      </c>
      <c r="AS105" s="65">
        <v>1</v>
      </c>
      <c r="AT105" s="65">
        <v>0</v>
      </c>
      <c r="AU105" s="65">
        <v>0</v>
      </c>
      <c r="AV105" s="65">
        <v>0</v>
      </c>
      <c r="AW105" s="65">
        <v>0</v>
      </c>
      <c r="AX105" s="494">
        <v>0</v>
      </c>
      <c r="BA105" s="529" t="s">
        <v>107</v>
      </c>
      <c r="BB105" s="520">
        <v>10.1</v>
      </c>
      <c r="BC105" s="520">
        <v>14.7</v>
      </c>
      <c r="BD105" s="520">
        <v>17.600000000000001</v>
      </c>
      <c r="BE105" s="445"/>
      <c r="BF105" s="397" t="s">
        <v>107</v>
      </c>
      <c r="BG105" s="406">
        <v>45</v>
      </c>
      <c r="BH105" s="406">
        <v>49</v>
      </c>
      <c r="BI105" s="406">
        <v>42</v>
      </c>
      <c r="BJ105" s="445"/>
      <c r="BK105" s="445"/>
      <c r="BL105" s="459"/>
    </row>
    <row r="106" spans="1:64" x14ac:dyDescent="0.25">
      <c r="A106" s="3" t="s">
        <v>4575</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8"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5"/>
      <c r="AP106" s="445"/>
      <c r="AQ106" s="397" t="s">
        <v>132</v>
      </c>
      <c r="AR106" s="65">
        <v>0</v>
      </c>
      <c r="AS106" s="65">
        <v>0</v>
      </c>
      <c r="AT106" s="65">
        <v>0</v>
      </c>
      <c r="AU106" s="65">
        <v>0</v>
      </c>
      <c r="AV106" s="65">
        <v>0</v>
      </c>
      <c r="AW106" s="65">
        <v>0</v>
      </c>
      <c r="AX106" s="494">
        <v>0</v>
      </c>
      <c r="BA106" s="529" t="s">
        <v>247</v>
      </c>
      <c r="BB106" s="520">
        <v>28.4</v>
      </c>
      <c r="BC106" s="520">
        <v>41.3</v>
      </c>
      <c r="BD106" s="520">
        <v>52.3</v>
      </c>
      <c r="BE106" s="445"/>
      <c r="BF106" s="397" t="s">
        <v>247</v>
      </c>
      <c r="BG106" s="406">
        <v>83</v>
      </c>
      <c r="BH106" s="406">
        <v>45</v>
      </c>
      <c r="BI106" s="406">
        <v>36</v>
      </c>
      <c r="BJ106" s="445"/>
      <c r="BK106" s="445"/>
      <c r="BL106" s="459"/>
    </row>
    <row r="107" spans="1:64" x14ac:dyDescent="0.25">
      <c r="B107" s="168" t="s">
        <v>30</v>
      </c>
      <c r="Y107" s="3"/>
      <c r="Z107" s="3"/>
      <c r="AC107" s="508" t="s">
        <v>680</v>
      </c>
      <c r="AD107" s="65">
        <v>9474</v>
      </c>
      <c r="AE107" s="65">
        <v>10643</v>
      </c>
      <c r="AF107" s="65">
        <v>10274</v>
      </c>
      <c r="AG107" s="65">
        <v>10625</v>
      </c>
      <c r="AH107" s="65">
        <v>11132</v>
      </c>
      <c r="AI107" s="65">
        <v>11349</v>
      </c>
      <c r="AJ107" s="65">
        <v>12404</v>
      </c>
      <c r="AK107" s="65">
        <v>11456</v>
      </c>
      <c r="AL107" s="65">
        <v>11836</v>
      </c>
      <c r="AM107" s="65"/>
      <c r="AN107" s="65"/>
      <c r="AO107" s="445"/>
      <c r="AP107" s="445"/>
      <c r="AQ107" s="397" t="s">
        <v>133</v>
      </c>
      <c r="AR107" s="65">
        <v>0</v>
      </c>
      <c r="AS107" s="65">
        <v>0</v>
      </c>
      <c r="AT107" s="65">
        <v>0</v>
      </c>
      <c r="AU107" s="65">
        <v>0</v>
      </c>
      <c r="AV107" s="65">
        <v>0</v>
      </c>
      <c r="AW107" s="65">
        <v>0</v>
      </c>
      <c r="AX107" s="494">
        <v>0</v>
      </c>
      <c r="BA107" s="529" t="s">
        <v>567</v>
      </c>
      <c r="BB107" s="520">
        <v>22</v>
      </c>
      <c r="BC107" s="520">
        <v>31.6</v>
      </c>
      <c r="BD107" s="520">
        <v>38.9</v>
      </c>
      <c r="BE107" s="445"/>
      <c r="BF107" s="397" t="s">
        <v>567</v>
      </c>
      <c r="BG107" s="406">
        <v>93</v>
      </c>
      <c r="BH107" s="406">
        <v>65</v>
      </c>
      <c r="BI107" s="406">
        <v>42</v>
      </c>
      <c r="BJ107" s="445"/>
      <c r="BK107" s="445"/>
      <c r="BL107" s="459"/>
    </row>
    <row r="108" spans="1:64" x14ac:dyDescent="0.25">
      <c r="A108" s="3" t="s">
        <v>4576</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8" t="s">
        <v>681</v>
      </c>
      <c r="AD108" s="65">
        <v>593</v>
      </c>
      <c r="AE108" s="65">
        <v>617</v>
      </c>
      <c r="AF108" s="65">
        <v>632</v>
      </c>
      <c r="AG108" s="65">
        <v>633</v>
      </c>
      <c r="AH108" s="65">
        <v>626</v>
      </c>
      <c r="AI108" s="65">
        <v>613</v>
      </c>
      <c r="AJ108" s="65">
        <v>635</v>
      </c>
      <c r="AK108" s="65">
        <v>584</v>
      </c>
      <c r="AL108" s="65">
        <v>597</v>
      </c>
      <c r="AM108" s="65"/>
      <c r="AN108" s="65"/>
      <c r="AO108" s="445"/>
      <c r="AP108" s="445"/>
      <c r="AQ108" s="397" t="s">
        <v>698</v>
      </c>
      <c r="AR108" s="65">
        <v>1</v>
      </c>
      <c r="AS108" s="65">
        <v>0</v>
      </c>
      <c r="AT108" s="65">
        <v>0</v>
      </c>
      <c r="AU108" s="65">
        <v>1</v>
      </c>
      <c r="AV108" s="65">
        <v>1</v>
      </c>
      <c r="AW108" s="65">
        <v>0</v>
      </c>
      <c r="AX108" s="494">
        <v>0</v>
      </c>
      <c r="BA108" s="529" t="s">
        <v>757</v>
      </c>
      <c r="BB108" s="520">
        <v>13</v>
      </c>
      <c r="BC108" s="520">
        <v>18.899999999999999</v>
      </c>
      <c r="BD108" s="520">
        <v>22.8</v>
      </c>
      <c r="BE108" s="445"/>
      <c r="BF108" s="397" t="s">
        <v>757</v>
      </c>
      <c r="BG108" s="406">
        <v>48</v>
      </c>
      <c r="BH108" s="406">
        <v>47</v>
      </c>
      <c r="BI108" s="406">
        <v>41</v>
      </c>
      <c r="BJ108" s="445"/>
      <c r="BK108" s="445"/>
      <c r="BL108" s="459"/>
    </row>
    <row r="109" spans="1:64" x14ac:dyDescent="0.25">
      <c r="A109" s="3" t="s">
        <v>4577</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7" t="s">
        <v>686</v>
      </c>
      <c r="AD109" s="65"/>
      <c r="AE109" s="65"/>
      <c r="AF109" s="65"/>
      <c r="AG109" s="65"/>
      <c r="AH109" s="65"/>
      <c r="AI109" s="65"/>
      <c r="AJ109" s="65"/>
      <c r="AK109" s="65"/>
      <c r="AL109" s="65"/>
      <c r="AM109" s="65"/>
      <c r="AN109" s="65"/>
      <c r="AO109" s="445"/>
      <c r="AP109" s="445"/>
      <c r="AQ109" s="249" t="s">
        <v>940</v>
      </c>
      <c r="AR109" s="479">
        <v>146309</v>
      </c>
      <c r="AS109" s="479">
        <v>150135</v>
      </c>
      <c r="AT109" s="479">
        <v>153275</v>
      </c>
      <c r="AU109" s="479">
        <v>159522</v>
      </c>
      <c r="AV109" s="479">
        <v>169292</v>
      </c>
      <c r="AW109" s="479">
        <v>164743</v>
      </c>
      <c r="AX109" s="493">
        <v>163136</v>
      </c>
      <c r="BA109" s="529" t="s">
        <v>758</v>
      </c>
      <c r="BB109" s="520">
        <v>12.8</v>
      </c>
      <c r="BC109" s="520">
        <v>19.7</v>
      </c>
      <c r="BD109" s="520">
        <v>24.2</v>
      </c>
      <c r="BE109" s="445"/>
      <c r="BF109" s="397" t="s">
        <v>758</v>
      </c>
      <c r="BG109" s="406">
        <v>49</v>
      </c>
      <c r="BH109" s="406">
        <v>46</v>
      </c>
      <c r="BI109" s="406">
        <v>40</v>
      </c>
      <c r="BJ109" s="445"/>
      <c r="BK109" s="445"/>
      <c r="BL109" s="459"/>
    </row>
    <row r="110" spans="1:64" x14ac:dyDescent="0.25">
      <c r="A110" s="3" t="s">
        <v>4578</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8"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5"/>
      <c r="AP110" s="445"/>
      <c r="AQ110" s="397" t="s">
        <v>108</v>
      </c>
      <c r="AR110" s="509">
        <v>2450</v>
      </c>
      <c r="AS110" s="509">
        <v>2524</v>
      </c>
      <c r="AT110" s="509">
        <v>2614</v>
      </c>
      <c r="AU110" s="509">
        <v>2844</v>
      </c>
      <c r="AV110" s="509">
        <v>3243</v>
      </c>
      <c r="AW110" s="509">
        <v>3166</v>
      </c>
      <c r="AX110" s="951">
        <v>3013</v>
      </c>
      <c r="BA110" s="529" t="s">
        <v>241</v>
      </c>
      <c r="BB110" s="520">
        <v>8.9</v>
      </c>
      <c r="BC110" s="520">
        <v>12.8</v>
      </c>
      <c r="BD110" s="520">
        <v>16.100000000000001</v>
      </c>
      <c r="BE110" s="445"/>
      <c r="BF110" s="397" t="s">
        <v>241</v>
      </c>
      <c r="BG110" s="406">
        <v>45</v>
      </c>
      <c r="BH110" s="406">
        <v>39</v>
      </c>
      <c r="BI110" s="406">
        <v>38</v>
      </c>
      <c r="BJ110" s="445"/>
      <c r="BK110" s="445"/>
      <c r="BL110" s="459"/>
    </row>
    <row r="111" spans="1:64" ht="14.45" customHeight="1" x14ac:dyDescent="0.25">
      <c r="A111" s="3" t="s">
        <v>4579</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8"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5"/>
      <c r="AP111" s="445"/>
      <c r="AQ111" s="397" t="s">
        <v>107</v>
      </c>
      <c r="AR111" s="509">
        <v>143246</v>
      </c>
      <c r="AS111" s="509">
        <v>146951</v>
      </c>
      <c r="AT111" s="509">
        <v>149969</v>
      </c>
      <c r="AU111" s="509">
        <v>155962</v>
      </c>
      <c r="AV111" s="509">
        <v>165236</v>
      </c>
      <c r="AW111" s="509">
        <v>160746</v>
      </c>
      <c r="AX111" s="951">
        <v>159254</v>
      </c>
      <c r="BA111" s="948" t="s">
        <v>774</v>
      </c>
      <c r="BB111" s="550"/>
      <c r="BC111" s="550"/>
      <c r="BD111" s="550"/>
      <c r="BE111" s="445"/>
      <c r="BF111" s="556" t="s">
        <v>772</v>
      </c>
      <c r="BG111" s="550"/>
      <c r="BH111" s="550"/>
      <c r="BI111" s="550"/>
      <c r="BJ111" s="445"/>
      <c r="BK111" s="445"/>
      <c r="BL111" s="459"/>
    </row>
    <row r="112" spans="1:64" x14ac:dyDescent="0.25">
      <c r="A112" s="3" t="s">
        <v>4580</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8"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5"/>
      <c r="AP112" s="445"/>
      <c r="AQ112" s="397" t="s">
        <v>131</v>
      </c>
      <c r="AR112" s="509" t="s">
        <v>718</v>
      </c>
      <c r="AS112" s="509" t="s">
        <v>718</v>
      </c>
      <c r="AT112" s="509" t="s">
        <v>718</v>
      </c>
      <c r="AU112" s="509" t="s">
        <v>718</v>
      </c>
      <c r="AV112" s="509" t="s">
        <v>718</v>
      </c>
      <c r="AW112" s="509" t="s">
        <v>718</v>
      </c>
      <c r="AX112" s="951" t="s">
        <v>718</v>
      </c>
      <c r="BA112" s="948"/>
      <c r="BB112" s="550"/>
      <c r="BC112" s="550"/>
      <c r="BD112" s="550"/>
      <c r="BE112" s="445"/>
      <c r="BF112" s="550"/>
      <c r="BG112" s="550"/>
      <c r="BH112" s="550"/>
      <c r="BI112" s="445"/>
      <c r="BJ112" s="445"/>
      <c r="BK112" s="445"/>
      <c r="BL112" s="459"/>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8"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5"/>
      <c r="AP113" s="445"/>
      <c r="AQ113" s="397" t="s">
        <v>132</v>
      </c>
      <c r="AR113" s="509" t="s">
        <v>718</v>
      </c>
      <c r="AS113" s="509" t="s">
        <v>718</v>
      </c>
      <c r="AT113" s="509" t="s">
        <v>718</v>
      </c>
      <c r="AU113" s="509" t="s">
        <v>718</v>
      </c>
      <c r="AV113" s="509" t="s">
        <v>718</v>
      </c>
      <c r="AW113" s="509" t="s">
        <v>718</v>
      </c>
      <c r="AX113" s="951" t="s">
        <v>718</v>
      </c>
      <c r="BA113" s="487"/>
      <c r="BB113" s="445"/>
      <c r="BC113" s="445"/>
      <c r="BD113" s="445"/>
      <c r="BE113" s="445"/>
      <c r="BF113" s="445"/>
      <c r="BG113" s="445"/>
      <c r="BH113" s="445"/>
      <c r="BI113" s="445"/>
      <c r="BJ113" s="445"/>
      <c r="BK113" s="445"/>
      <c r="BL113" s="459"/>
    </row>
    <row r="114" spans="1:64" ht="15.75" x14ac:dyDescent="0.25">
      <c r="A114" s="3" t="s">
        <v>4581</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8" t="s">
        <v>680</v>
      </c>
      <c r="AD114" s="65">
        <v>9671</v>
      </c>
      <c r="AE114" s="65">
        <v>11037</v>
      </c>
      <c r="AF114" s="65">
        <v>10693</v>
      </c>
      <c r="AG114" s="65">
        <v>11044</v>
      </c>
      <c r="AH114" s="65">
        <v>11667</v>
      </c>
      <c r="AI114" s="65">
        <v>11742</v>
      </c>
      <c r="AJ114" s="65">
        <v>12881</v>
      </c>
      <c r="AK114" s="65">
        <v>11813</v>
      </c>
      <c r="AL114" s="65">
        <v>12263</v>
      </c>
      <c r="AM114" s="65"/>
      <c r="AN114" s="65"/>
      <c r="AO114" s="445"/>
      <c r="AP114" s="445"/>
      <c r="AQ114" s="397" t="s">
        <v>133</v>
      </c>
      <c r="AR114" s="509" t="s">
        <v>718</v>
      </c>
      <c r="AS114" s="509" t="s">
        <v>718</v>
      </c>
      <c r="AT114" s="509" t="s">
        <v>718</v>
      </c>
      <c r="AU114" s="509" t="s">
        <v>718</v>
      </c>
      <c r="AV114" s="509" t="s">
        <v>718</v>
      </c>
      <c r="AW114" s="509" t="s">
        <v>718</v>
      </c>
      <c r="AX114" s="951" t="s">
        <v>718</v>
      </c>
      <c r="BA114" s="468" t="s">
        <v>765</v>
      </c>
      <c r="BB114" s="445"/>
      <c r="BC114" s="445"/>
      <c r="BD114" s="445"/>
      <c r="BE114" s="445"/>
      <c r="BF114" s="445"/>
      <c r="BG114" s="445"/>
      <c r="BH114" s="445"/>
      <c r="BI114" s="445"/>
      <c r="BJ114" s="445"/>
      <c r="BK114" s="445"/>
      <c r="BL114" s="459"/>
    </row>
    <row r="115" spans="1:64" ht="15.75" thickBot="1" x14ac:dyDescent="0.3">
      <c r="A115" s="3" t="s">
        <v>4582</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8" t="s">
        <v>681</v>
      </c>
      <c r="AD115" s="65">
        <v>455</v>
      </c>
      <c r="AE115" s="65">
        <v>458</v>
      </c>
      <c r="AF115" s="65">
        <v>459</v>
      </c>
      <c r="AG115" s="65">
        <v>457</v>
      </c>
      <c r="AH115" s="65">
        <v>450</v>
      </c>
      <c r="AI115" s="65">
        <v>446</v>
      </c>
      <c r="AJ115" s="65">
        <v>451</v>
      </c>
      <c r="AK115" s="65">
        <v>418</v>
      </c>
      <c r="AL115" s="65">
        <v>427</v>
      </c>
      <c r="AM115" s="65"/>
      <c r="AN115" s="65"/>
      <c r="AO115" s="445"/>
      <c r="AP115" s="445"/>
      <c r="AQ115" s="189" t="s">
        <v>698</v>
      </c>
      <c r="AR115" s="190" t="s">
        <v>718</v>
      </c>
      <c r="AS115" s="190" t="s">
        <v>718</v>
      </c>
      <c r="AT115" s="190" t="s">
        <v>718</v>
      </c>
      <c r="AU115" s="190" t="s">
        <v>718</v>
      </c>
      <c r="AV115" s="190" t="s">
        <v>718</v>
      </c>
      <c r="AW115" s="190" t="s">
        <v>718</v>
      </c>
      <c r="AX115" s="951" t="s">
        <v>718</v>
      </c>
      <c r="BA115" s="483" t="s">
        <v>464</v>
      </c>
      <c r="BB115" s="21" t="s">
        <v>763</v>
      </c>
      <c r="BC115" s="21" t="s">
        <v>247</v>
      </c>
      <c r="BD115" s="21" t="s">
        <v>567</v>
      </c>
      <c r="BE115" s="21" t="s">
        <v>764</v>
      </c>
      <c r="BF115" s="21" t="s">
        <v>241</v>
      </c>
      <c r="BG115" s="445"/>
      <c r="BH115" s="445"/>
      <c r="BI115" s="445"/>
      <c r="BJ115" s="445"/>
      <c r="BK115" s="445"/>
      <c r="BL115" s="459"/>
    </row>
    <row r="116" spans="1:64" ht="15.75" thickTop="1" x14ac:dyDescent="0.25">
      <c r="A116" s="3" t="s">
        <v>4583</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7" t="s">
        <v>687</v>
      </c>
      <c r="AD116" s="65"/>
      <c r="AE116" s="65"/>
      <c r="AF116" s="65"/>
      <c r="AG116" s="65"/>
      <c r="AH116" s="65"/>
      <c r="AI116" s="65"/>
      <c r="AJ116" s="65"/>
      <c r="AK116" s="65"/>
      <c r="AL116" s="65"/>
      <c r="AM116" s="65"/>
      <c r="AN116" s="65"/>
      <c r="AO116" s="445"/>
      <c r="AP116" s="445"/>
      <c r="AQ116" s="510" t="s">
        <v>719</v>
      </c>
      <c r="AR116" s="445"/>
      <c r="AS116" s="445"/>
      <c r="AT116" s="445"/>
      <c r="AU116" s="445"/>
      <c r="AV116" s="445"/>
      <c r="AW116" s="445"/>
      <c r="AX116" s="952"/>
      <c r="BA116" s="557" t="s">
        <v>769</v>
      </c>
      <c r="BB116" s="445" t="s">
        <v>766</v>
      </c>
      <c r="BC116" s="558">
        <v>4.5999999999999999E-2</v>
      </c>
      <c r="BD116" s="558">
        <v>4.5999999999999999E-2</v>
      </c>
      <c r="BE116" s="558">
        <v>5.7000000000000002E-2</v>
      </c>
      <c r="BF116" s="558">
        <v>4.9000000000000002E-2</v>
      </c>
      <c r="BG116" s="445"/>
      <c r="BH116" s="445"/>
      <c r="BI116" s="445"/>
      <c r="BJ116" s="445"/>
      <c r="BK116" s="445"/>
      <c r="BL116" s="459"/>
    </row>
    <row r="117" spans="1:64" x14ac:dyDescent="0.25">
      <c r="A117" s="3" t="s">
        <v>4584</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8"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5"/>
      <c r="AP117" s="445"/>
      <c r="AQ117" s="510" t="s">
        <v>706</v>
      </c>
      <c r="AR117" s="445"/>
      <c r="AS117" s="445"/>
      <c r="AT117" s="445"/>
      <c r="AU117" s="445"/>
      <c r="AV117" s="445"/>
      <c r="AW117" s="445"/>
      <c r="AX117" s="459"/>
      <c r="BA117" s="559"/>
      <c r="BB117" s="445" t="s">
        <v>767</v>
      </c>
      <c r="BC117" s="558">
        <v>7.5999999999999998E-2</v>
      </c>
      <c r="BD117" s="558">
        <v>0.11799999999999999</v>
      </c>
      <c r="BE117" s="558">
        <v>0.11799999999999999</v>
      </c>
      <c r="BF117" s="558">
        <v>0.11700000000000001</v>
      </c>
      <c r="BG117" s="445"/>
      <c r="BH117" s="445"/>
      <c r="BI117" s="445"/>
      <c r="BJ117" s="445"/>
      <c r="BK117" s="445"/>
      <c r="BL117" s="459"/>
    </row>
    <row r="118" spans="1:64" x14ac:dyDescent="0.25">
      <c r="A118" s="3" t="s">
        <v>4585</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8"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5"/>
      <c r="AP118" s="445"/>
      <c r="AQ118" s="510" t="s">
        <v>707</v>
      </c>
      <c r="AR118" s="445"/>
      <c r="AS118" s="445"/>
      <c r="AT118" s="445"/>
      <c r="AU118" s="445"/>
      <c r="AV118" s="445"/>
      <c r="AW118" s="445"/>
      <c r="AX118" s="459"/>
      <c r="BA118" s="559"/>
      <c r="BB118" s="445" t="s">
        <v>768</v>
      </c>
      <c r="BC118" s="558">
        <v>0.111</v>
      </c>
      <c r="BD118" s="558">
        <v>0.27</v>
      </c>
      <c r="BE118" s="558">
        <v>0.23300000000000001</v>
      </c>
      <c r="BF118" s="558">
        <v>0.23100000000000001</v>
      </c>
      <c r="BG118" s="445"/>
      <c r="BH118" s="445"/>
      <c r="BI118" s="445"/>
      <c r="BJ118" s="445"/>
      <c r="BK118" s="445"/>
      <c r="BL118" s="459"/>
    </row>
    <row r="119" spans="1:64" x14ac:dyDescent="0.25">
      <c r="B119" s="921"/>
      <c r="D119" s="22"/>
      <c r="E119" s="22"/>
      <c r="F119" s="22"/>
      <c r="G119" s="22"/>
      <c r="H119" s="22"/>
      <c r="I119" s="22"/>
      <c r="J119" s="22"/>
      <c r="K119" s="22"/>
      <c r="L119" s="22"/>
      <c r="M119" s="22"/>
      <c r="N119" s="22"/>
      <c r="O119" s="22"/>
      <c r="P119" s="22"/>
      <c r="Q119" s="22"/>
      <c r="R119" s="22"/>
      <c r="S119" s="22"/>
      <c r="T119" s="22"/>
      <c r="U119" s="22"/>
      <c r="V119" s="22"/>
      <c r="W119" s="22"/>
      <c r="AC119" s="508"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5"/>
      <c r="AP119" s="445"/>
      <c r="AQ119" s="510" t="s">
        <v>708</v>
      </c>
      <c r="AR119" s="445"/>
      <c r="AS119" s="445"/>
      <c r="AT119" s="445"/>
      <c r="AU119" s="445"/>
      <c r="AV119" s="445"/>
      <c r="AW119" s="445"/>
      <c r="AX119" s="459"/>
      <c r="BA119" s="559" t="s">
        <v>770</v>
      </c>
      <c r="BB119" s="445" t="s">
        <v>766</v>
      </c>
      <c r="BC119" s="558">
        <v>0.06</v>
      </c>
      <c r="BD119" s="558">
        <v>0.06</v>
      </c>
      <c r="BE119" s="558">
        <v>7.4999999999999997E-2</v>
      </c>
      <c r="BF119" s="558">
        <v>6.4000000000000001E-2</v>
      </c>
      <c r="BG119" s="445"/>
      <c r="BH119" s="445"/>
      <c r="BI119" s="445"/>
      <c r="BJ119" s="445"/>
      <c r="BK119" s="445"/>
      <c r="BL119" s="459"/>
    </row>
    <row r="120" spans="1:64" ht="15.75" x14ac:dyDescent="0.25">
      <c r="B120" s="939" t="s">
        <v>278</v>
      </c>
      <c r="C120" s="939"/>
      <c r="D120" s="939"/>
      <c r="E120" s="939"/>
      <c r="F120" s="939"/>
      <c r="G120" s="939"/>
      <c r="H120" s="939"/>
      <c r="I120" s="939"/>
      <c r="J120" s="939"/>
      <c r="K120" s="939"/>
      <c r="L120" s="939"/>
      <c r="M120" s="939"/>
      <c r="N120" s="939"/>
      <c r="O120" s="939"/>
      <c r="P120" s="939"/>
      <c r="Q120" s="939"/>
      <c r="R120" s="939"/>
      <c r="S120" s="939"/>
      <c r="T120" s="939"/>
      <c r="U120" s="939"/>
      <c r="V120" s="939"/>
      <c r="W120" s="939"/>
      <c r="AC120" s="508"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5"/>
      <c r="AP120" s="445"/>
      <c r="AQ120" s="510" t="s">
        <v>709</v>
      </c>
      <c r="AR120" s="445"/>
      <c r="AS120" s="445"/>
      <c r="AT120" s="445"/>
      <c r="AU120" s="445"/>
      <c r="AV120" s="445"/>
      <c r="AW120" s="445"/>
      <c r="AX120" s="459"/>
      <c r="BA120" s="559"/>
      <c r="BB120" s="445" t="s">
        <v>767</v>
      </c>
      <c r="BC120" s="558">
        <v>9.8000000000000004E-2</v>
      </c>
      <c r="BD120" s="558">
        <v>0.153</v>
      </c>
      <c r="BE120" s="558">
        <v>0.152</v>
      </c>
      <c r="BF120" s="558">
        <v>0.151</v>
      </c>
      <c r="BG120" s="445"/>
      <c r="BH120" s="445"/>
      <c r="BI120" s="445"/>
      <c r="BJ120" s="445"/>
      <c r="BK120" s="445"/>
      <c r="BL120" s="459"/>
    </row>
    <row r="121" spans="1:64" ht="15.75" thickBot="1" x14ac:dyDescent="0.3">
      <c r="B121" s="887"/>
      <c r="C121" s="888">
        <v>2000</v>
      </c>
      <c r="D121" s="889">
        <v>2001</v>
      </c>
      <c r="E121" s="889">
        <v>2002</v>
      </c>
      <c r="F121" s="889">
        <v>2003</v>
      </c>
      <c r="G121" s="889">
        <v>2004</v>
      </c>
      <c r="H121" s="889">
        <v>2005</v>
      </c>
      <c r="I121" s="889">
        <v>2006</v>
      </c>
      <c r="J121" s="889">
        <v>2007</v>
      </c>
      <c r="K121" s="889">
        <v>2008</v>
      </c>
      <c r="L121" s="889">
        <v>2009</v>
      </c>
      <c r="M121" s="889">
        <v>2010</v>
      </c>
      <c r="N121" s="889">
        <v>2011</v>
      </c>
      <c r="O121" s="889">
        <v>2012</v>
      </c>
      <c r="P121" s="889">
        <v>2013</v>
      </c>
      <c r="Q121" s="889">
        <v>2014</v>
      </c>
      <c r="R121" s="889">
        <v>2015</v>
      </c>
      <c r="S121" s="889">
        <v>2016</v>
      </c>
      <c r="T121" s="889">
        <v>2017</v>
      </c>
      <c r="U121" s="889">
        <v>2018</v>
      </c>
      <c r="V121" s="889">
        <v>2019</v>
      </c>
      <c r="W121" s="889">
        <v>2020</v>
      </c>
      <c r="X121" s="11">
        <v>2021</v>
      </c>
      <c r="AC121" s="508" t="s">
        <v>680</v>
      </c>
      <c r="AD121" s="65">
        <v>8384</v>
      </c>
      <c r="AE121" s="65">
        <v>8649</v>
      </c>
      <c r="AF121" s="65">
        <v>8204</v>
      </c>
      <c r="AG121" s="65">
        <v>8637</v>
      </c>
      <c r="AH121" s="65">
        <v>8687</v>
      </c>
      <c r="AI121" s="65">
        <v>9413</v>
      </c>
      <c r="AJ121" s="65">
        <v>10037</v>
      </c>
      <c r="AK121" s="65">
        <v>9528</v>
      </c>
      <c r="AL121" s="65">
        <v>9552</v>
      </c>
      <c r="AM121" s="65"/>
      <c r="AN121" s="65"/>
      <c r="AO121" s="445"/>
      <c r="AP121" s="445"/>
      <c r="AQ121" s="510" t="s">
        <v>710</v>
      </c>
      <c r="AR121" s="445"/>
      <c r="AS121" s="445"/>
      <c r="AT121" s="445"/>
      <c r="AU121" s="445"/>
      <c r="AV121" s="445"/>
      <c r="AW121" s="445"/>
      <c r="AX121" s="459"/>
      <c r="BA121" s="559"/>
      <c r="BB121" s="445" t="s">
        <v>768</v>
      </c>
      <c r="BC121" s="558">
        <v>0.14299999999999999</v>
      </c>
      <c r="BD121" s="558">
        <v>0.34899999999999998</v>
      </c>
      <c r="BE121" s="558">
        <v>0.30099999999999999</v>
      </c>
      <c r="BF121" s="558">
        <v>0.29799999999999999</v>
      </c>
      <c r="BG121" s="445"/>
      <c r="BH121" s="445"/>
      <c r="BI121" s="445"/>
      <c r="BJ121" s="445"/>
      <c r="BK121" s="445"/>
      <c r="BL121" s="459"/>
    </row>
    <row r="122" spans="1:64" ht="15.75" thickTop="1" x14ac:dyDescent="0.25">
      <c r="B122" s="167" t="s">
        <v>34</v>
      </c>
      <c r="C122" s="890"/>
      <c r="D122" s="890"/>
      <c r="E122" s="890"/>
      <c r="F122" s="890"/>
      <c r="G122" s="890"/>
      <c r="H122" s="890"/>
      <c r="I122" s="890"/>
      <c r="J122" s="890"/>
      <c r="K122" s="890"/>
      <c r="L122" s="890"/>
      <c r="M122" s="890"/>
      <c r="N122" s="890"/>
      <c r="O122" s="890"/>
      <c r="P122" s="890"/>
      <c r="Q122" s="890"/>
      <c r="R122" s="890"/>
      <c r="S122" s="890"/>
      <c r="T122" s="890"/>
      <c r="U122" s="890"/>
      <c r="V122" s="890"/>
      <c r="W122" s="890"/>
      <c r="AC122" s="508" t="s">
        <v>681</v>
      </c>
      <c r="AD122" s="65">
        <v>1359</v>
      </c>
      <c r="AE122" s="65">
        <v>1426</v>
      </c>
      <c r="AF122" s="65">
        <v>1486</v>
      </c>
      <c r="AG122" s="65">
        <v>1467</v>
      </c>
      <c r="AH122" s="65">
        <v>1431</v>
      </c>
      <c r="AI122" s="65">
        <v>1435</v>
      </c>
      <c r="AJ122" s="65">
        <v>1548</v>
      </c>
      <c r="AK122" s="65">
        <v>1479</v>
      </c>
      <c r="AL122" s="65">
        <v>1504</v>
      </c>
      <c r="AM122" s="65"/>
      <c r="AN122" s="65"/>
      <c r="AO122" s="445"/>
      <c r="AP122" s="445"/>
      <c r="AQ122" s="510" t="s">
        <v>711</v>
      </c>
      <c r="AR122" s="445"/>
      <c r="AS122" s="445"/>
      <c r="AT122" s="445"/>
      <c r="AU122" s="445"/>
      <c r="AV122" s="445"/>
      <c r="AW122" s="445"/>
      <c r="AX122" s="459"/>
      <c r="BA122" s="487"/>
      <c r="BB122" s="445"/>
      <c r="BC122" s="445"/>
      <c r="BD122" s="445"/>
      <c r="BE122" s="445"/>
      <c r="BF122" s="445"/>
      <c r="BG122" s="445"/>
      <c r="BH122" s="445"/>
      <c r="BI122" s="445"/>
      <c r="BJ122" s="445"/>
      <c r="BK122" s="445"/>
      <c r="BL122" s="459"/>
    </row>
    <row r="123" spans="1:64" ht="15.75" x14ac:dyDescent="0.25">
      <c r="B123" s="179" t="s">
        <v>288</v>
      </c>
      <c r="C123" s="891">
        <v>104881.671</v>
      </c>
      <c r="D123" s="891">
        <v>102534.77</v>
      </c>
      <c r="E123" s="891">
        <v>95094.45</v>
      </c>
      <c r="F123" s="891">
        <v>90326.455000000002</v>
      </c>
      <c r="G123" s="891">
        <v>101965.192</v>
      </c>
      <c r="H123" s="891">
        <v>109975.113</v>
      </c>
      <c r="I123" s="891">
        <v>118728.73136400001</v>
      </c>
      <c r="J123" s="891">
        <v>126333.878</v>
      </c>
      <c r="K123" s="891">
        <v>129600.466</v>
      </c>
      <c r="L123" s="891">
        <v>122682.87</v>
      </c>
      <c r="M123" s="891">
        <v>136286.48800000001</v>
      </c>
      <c r="N123" s="891">
        <v>147106.71299999999</v>
      </c>
      <c r="O123" s="891">
        <v>156022.96</v>
      </c>
      <c r="P123" s="891">
        <v>155927.079</v>
      </c>
      <c r="Q123" s="891">
        <v>166704.41399999999</v>
      </c>
      <c r="R123" s="891">
        <v>175656.71400000001</v>
      </c>
      <c r="S123" s="891">
        <v>192644.285</v>
      </c>
      <c r="T123" s="891">
        <v>210500.016</v>
      </c>
      <c r="U123" s="891">
        <v>228169.43400000001</v>
      </c>
      <c r="V123" s="891">
        <v>233217.78599999999</v>
      </c>
      <c r="W123" s="891">
        <v>62623.743000000002</v>
      </c>
      <c r="X123" s="3">
        <v>52363.94</v>
      </c>
      <c r="AC123" s="507" t="s">
        <v>688</v>
      </c>
      <c r="AD123" s="65"/>
      <c r="AE123" s="65"/>
      <c r="AF123" s="65"/>
      <c r="AG123" s="65"/>
      <c r="AH123" s="65"/>
      <c r="AI123" s="65"/>
      <c r="AJ123" s="65"/>
      <c r="AK123" s="65"/>
      <c r="AL123" s="65"/>
      <c r="AM123" s="65"/>
      <c r="AN123" s="65"/>
      <c r="AO123" s="445"/>
      <c r="AP123" s="445"/>
      <c r="AQ123" s="510" t="s">
        <v>712</v>
      </c>
      <c r="AR123" s="445"/>
      <c r="AS123" s="445"/>
      <c r="AT123" s="445"/>
      <c r="AU123" s="445"/>
      <c r="AV123" s="445"/>
      <c r="AW123" s="445"/>
      <c r="AX123" s="459"/>
      <c r="BA123" s="468" t="s">
        <v>1589</v>
      </c>
      <c r="BB123" s="445"/>
      <c r="BC123" s="445"/>
      <c r="BD123" s="445"/>
      <c r="BE123" s="445"/>
      <c r="BF123" s="445"/>
      <c r="BG123" s="445"/>
      <c r="BH123" s="445"/>
      <c r="BI123" s="445"/>
      <c r="BJ123" s="445"/>
      <c r="BK123" s="445"/>
      <c r="BL123" s="459"/>
    </row>
    <row r="124" spans="1:64" ht="15.75" thickBot="1" x14ac:dyDescent="0.3">
      <c r="B124" s="179" t="s">
        <v>78</v>
      </c>
      <c r="C124" s="891">
        <v>2327.3020000000001</v>
      </c>
      <c r="D124" s="891">
        <v>2172.424</v>
      </c>
      <c r="E124" s="891">
        <v>2150.9140000000002</v>
      </c>
      <c r="F124" s="891">
        <v>1855.077</v>
      </c>
      <c r="G124" s="891">
        <v>2012.9390000000001</v>
      </c>
      <c r="H124" s="891">
        <v>2235.549</v>
      </c>
      <c r="I124" s="891">
        <v>2226.9948890000001</v>
      </c>
      <c r="J124" s="891">
        <v>1997.175</v>
      </c>
      <c r="K124" s="891">
        <v>1809.4960000000001</v>
      </c>
      <c r="L124" s="891">
        <v>1628.107</v>
      </c>
      <c r="M124" s="891">
        <v>2085.2240000000002</v>
      </c>
      <c r="N124" s="891">
        <v>2211.8530000000001</v>
      </c>
      <c r="O124" s="891">
        <v>2282.826</v>
      </c>
      <c r="P124" s="891">
        <v>2273.0610000000001</v>
      </c>
      <c r="Q124" s="891">
        <v>2376.0839999999998</v>
      </c>
      <c r="R124" s="891">
        <v>2283.7669999999998</v>
      </c>
      <c r="S124" s="891">
        <v>2546.3409999999999</v>
      </c>
      <c r="T124" s="891">
        <v>3089.5149999999999</v>
      </c>
      <c r="U124" s="891">
        <v>3351.6489999999999</v>
      </c>
      <c r="V124" s="891">
        <v>3256.5459999999998</v>
      </c>
      <c r="W124" s="891">
        <v>2516.5949999999998</v>
      </c>
      <c r="X124" s="3">
        <v>3298.4830000000002</v>
      </c>
      <c r="AC124" s="508"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5"/>
      <c r="AP124" s="445"/>
      <c r="AQ124" s="510" t="s">
        <v>713</v>
      </c>
      <c r="AR124" s="445"/>
      <c r="AS124" s="445"/>
      <c r="AT124" s="445"/>
      <c r="AU124" s="445"/>
      <c r="AV124" s="445"/>
      <c r="AW124" s="445"/>
      <c r="AX124" s="459"/>
      <c r="BA124" s="483" t="s">
        <v>130</v>
      </c>
      <c r="BB124" s="21" t="s">
        <v>1091</v>
      </c>
      <c r="BC124" s="21" t="s">
        <v>1591</v>
      </c>
      <c r="BD124" s="21" t="s">
        <v>1594</v>
      </c>
      <c r="BE124" s="21" t="s">
        <v>1595</v>
      </c>
      <c r="BF124" s="21" t="s">
        <v>1608</v>
      </c>
      <c r="BG124" s="21" t="s">
        <v>1596</v>
      </c>
      <c r="BH124" s="21" t="s">
        <v>1597</v>
      </c>
      <c r="BI124" s="21" t="s">
        <v>1598</v>
      </c>
      <c r="BJ124" s="21" t="s">
        <v>1599</v>
      </c>
      <c r="BK124" s="21" t="s">
        <v>1600</v>
      </c>
      <c r="BL124" s="560"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8"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5"/>
      <c r="AP125" s="445"/>
      <c r="AQ125" s="510" t="s">
        <v>714</v>
      </c>
      <c r="AR125" s="445"/>
      <c r="AS125" s="445"/>
      <c r="AT125" s="445"/>
      <c r="AU125" s="445"/>
      <c r="AV125" s="445"/>
      <c r="AW125" s="445"/>
      <c r="AX125" s="459"/>
      <c r="BA125" s="507" t="s">
        <v>1593</v>
      </c>
      <c r="BB125" s="445"/>
      <c r="BC125" s="445"/>
      <c r="BD125" s="445"/>
      <c r="BE125" s="445"/>
      <c r="BF125" s="445"/>
      <c r="BG125" s="445"/>
      <c r="BH125" s="445"/>
      <c r="BI125" s="445"/>
      <c r="BJ125" s="445"/>
      <c r="BK125" s="445"/>
      <c r="BL125" s="459"/>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8"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5"/>
      <c r="AP126" s="445"/>
      <c r="AQ126" s="510" t="s">
        <v>715</v>
      </c>
      <c r="AR126" s="445"/>
      <c r="AS126" s="445"/>
      <c r="AT126" s="445"/>
      <c r="AU126" s="445"/>
      <c r="AV126" s="445"/>
      <c r="AW126" s="445"/>
      <c r="AX126" s="459"/>
      <c r="BA126" s="381" t="s">
        <v>247</v>
      </c>
      <c r="BB126">
        <v>2030</v>
      </c>
      <c r="BC126" s="561">
        <v>150</v>
      </c>
      <c r="BD126" s="71">
        <v>233</v>
      </c>
      <c r="BE126" s="406">
        <v>102382</v>
      </c>
      <c r="BF126" s="73">
        <v>0.83</v>
      </c>
      <c r="BG126" s="71">
        <v>0.1</v>
      </c>
      <c r="BH126" s="73">
        <v>0.11</v>
      </c>
      <c r="BI126" s="406">
        <v>67488</v>
      </c>
      <c r="BJ126" s="558">
        <v>0.156</v>
      </c>
      <c r="BK126" s="65">
        <v>100000</v>
      </c>
      <c r="BL126" s="413">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8"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5"/>
      <c r="AP127" s="445"/>
      <c r="AQ127" s="510" t="s">
        <v>716</v>
      </c>
      <c r="AR127" s="445"/>
      <c r="AS127" s="445"/>
      <c r="AT127" s="445"/>
      <c r="AU127" s="445"/>
      <c r="AV127" s="445"/>
      <c r="AW127" s="445"/>
      <c r="AX127" s="459"/>
      <c r="BA127" s="381"/>
      <c r="BB127">
        <v>2050</v>
      </c>
      <c r="BC127" s="561">
        <v>150</v>
      </c>
      <c r="BD127" s="71">
        <v>202</v>
      </c>
      <c r="BE127" s="406">
        <v>55707.78</v>
      </c>
      <c r="BF127" s="73">
        <v>0.72</v>
      </c>
      <c r="BG127" s="71">
        <v>0.1</v>
      </c>
      <c r="BH127" s="73">
        <v>0.09</v>
      </c>
      <c r="BI127" s="406">
        <v>32802</v>
      </c>
      <c r="BJ127" s="558">
        <v>0.156</v>
      </c>
      <c r="BK127" s="65">
        <v>100000</v>
      </c>
      <c r="BL127" s="413">
        <v>0.57999999999999996</v>
      </c>
    </row>
    <row r="128" spans="1:64" x14ac:dyDescent="0.25">
      <c r="B128" s="892" t="s">
        <v>289</v>
      </c>
      <c r="C128" s="22"/>
      <c r="D128" s="22"/>
      <c r="E128" s="22"/>
      <c r="F128" s="22"/>
      <c r="G128" s="22"/>
      <c r="H128" s="22"/>
      <c r="I128" s="22"/>
      <c r="J128" s="22"/>
      <c r="K128" s="22"/>
      <c r="L128" s="22"/>
      <c r="M128" s="22"/>
      <c r="N128" s="22"/>
      <c r="O128" s="22"/>
      <c r="P128" s="22"/>
      <c r="Q128" s="22"/>
      <c r="R128" s="22"/>
      <c r="S128" s="22"/>
      <c r="T128" s="22"/>
      <c r="U128" s="22"/>
      <c r="V128" s="22"/>
      <c r="W128" s="22"/>
      <c r="AC128" s="508" t="s">
        <v>680</v>
      </c>
      <c r="AD128" s="65">
        <v>13039</v>
      </c>
      <c r="AE128" s="65">
        <v>16108</v>
      </c>
      <c r="AF128" s="65">
        <v>15017</v>
      </c>
      <c r="AG128" s="65">
        <v>16453</v>
      </c>
      <c r="AH128" s="65">
        <v>15494</v>
      </c>
      <c r="AI128" s="65">
        <v>16235</v>
      </c>
      <c r="AJ128" s="65">
        <v>16921</v>
      </c>
      <c r="AK128" s="65">
        <v>15678</v>
      </c>
      <c r="AL128" s="65">
        <v>15918</v>
      </c>
      <c r="AM128" s="65"/>
      <c r="AN128" s="65"/>
      <c r="AO128" s="445"/>
      <c r="AP128" s="445"/>
      <c r="AQ128" s="510" t="s">
        <v>717</v>
      </c>
      <c r="AR128" s="445"/>
      <c r="AS128" s="445"/>
      <c r="AT128" s="445"/>
      <c r="AU128" s="445"/>
      <c r="AV128" s="445"/>
      <c r="AW128" s="445"/>
      <c r="AX128" s="459"/>
      <c r="BA128" s="381" t="s">
        <v>567</v>
      </c>
      <c r="BB128">
        <v>2030</v>
      </c>
      <c r="BC128" s="561">
        <v>150</v>
      </c>
      <c r="BD128" s="71">
        <v>13.44</v>
      </c>
      <c r="BE128" s="406">
        <v>77386</v>
      </c>
      <c r="BF128" s="73">
        <v>5.6000000000000001E-2</v>
      </c>
      <c r="BG128" s="71">
        <v>5</v>
      </c>
      <c r="BH128" s="73">
        <v>0.36</v>
      </c>
      <c r="BI128" s="406">
        <v>38693</v>
      </c>
      <c r="BJ128" s="558">
        <v>0.156</v>
      </c>
      <c r="BK128" s="65">
        <v>100000</v>
      </c>
      <c r="BL128" s="413">
        <v>0.91</v>
      </c>
    </row>
    <row r="129" spans="2:69" x14ac:dyDescent="0.25">
      <c r="AC129" s="508" t="s">
        <v>681</v>
      </c>
      <c r="AD129" s="65">
        <v>9</v>
      </c>
      <c r="AE129" s="65">
        <v>10</v>
      </c>
      <c r="AF129" s="65">
        <v>10</v>
      </c>
      <c r="AG129" s="65">
        <v>11</v>
      </c>
      <c r="AH129" s="65">
        <v>12</v>
      </c>
      <c r="AI129" s="65">
        <v>11</v>
      </c>
      <c r="AJ129" s="65">
        <v>10</v>
      </c>
      <c r="AK129" s="65">
        <v>11</v>
      </c>
      <c r="AL129" s="65">
        <v>11</v>
      </c>
      <c r="AM129" s="65"/>
      <c r="AN129" s="65"/>
      <c r="AO129" s="445"/>
      <c r="AP129" s="445"/>
      <c r="AQ129" s="445"/>
      <c r="AR129" s="445"/>
      <c r="AS129"/>
      <c r="AT129"/>
      <c r="AU129"/>
      <c r="AV129" s="445"/>
      <c r="AW129" s="445"/>
      <c r="AX129" s="459"/>
      <c r="BA129" s="381"/>
      <c r="BB129">
        <v>2050</v>
      </c>
      <c r="BC129" s="561">
        <v>150</v>
      </c>
      <c r="BD129" s="71">
        <v>12.48</v>
      </c>
      <c r="BE129" s="406">
        <v>54855</v>
      </c>
      <c r="BF129" s="73">
        <v>5.1999999999999998E-2</v>
      </c>
      <c r="BG129" s="71">
        <v>5</v>
      </c>
      <c r="BH129" s="73">
        <v>0.34</v>
      </c>
      <c r="BI129" s="406">
        <v>27428</v>
      </c>
      <c r="BJ129" s="558">
        <v>0.156</v>
      </c>
      <c r="BK129" s="65">
        <v>100000</v>
      </c>
      <c r="BL129" s="413">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2"/>
      <c r="AC130" s="507" t="s">
        <v>689</v>
      </c>
      <c r="AD130" s="65"/>
      <c r="AE130" s="65"/>
      <c r="AF130" s="65"/>
      <c r="AG130" s="65"/>
      <c r="AH130" s="65"/>
      <c r="AI130" s="65"/>
      <c r="AJ130" s="65"/>
      <c r="AK130" s="65"/>
      <c r="AL130" s="65"/>
      <c r="AM130" s="65"/>
      <c r="AN130" s="65"/>
      <c r="AO130" s="445"/>
      <c r="AP130" s="445"/>
      <c r="AQ130" s="445"/>
      <c r="AR130" s="445"/>
      <c r="AS130"/>
      <c r="AT130"/>
      <c r="AU130"/>
      <c r="AV130" s="445"/>
      <c r="AW130" s="445"/>
      <c r="AX130" s="459"/>
      <c r="BA130" s="381" t="s">
        <v>1592</v>
      </c>
      <c r="BB130"/>
      <c r="BC130" s="561"/>
      <c r="BD130" s="71"/>
      <c r="BE130" s="406">
        <v>55000</v>
      </c>
      <c r="BF130" s="73">
        <v>10.5</v>
      </c>
      <c r="BG130" s="71">
        <v>4</v>
      </c>
      <c r="BH130" s="73">
        <v>0.38</v>
      </c>
      <c r="BI130" s="406">
        <v>27500</v>
      </c>
      <c r="BJ130" s="558">
        <v>0.311</v>
      </c>
      <c r="BK130" s="65">
        <v>100000</v>
      </c>
      <c r="BL130" s="413">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4028</v>
      </c>
      <c r="AC131" s="508"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5"/>
      <c r="AP131" s="445"/>
      <c r="AQ131" s="445"/>
      <c r="AR131" s="445"/>
      <c r="AS131" s="445"/>
      <c r="AT131" s="445"/>
      <c r="AU131" s="445"/>
      <c r="AV131" s="445"/>
      <c r="AW131" s="445"/>
      <c r="AX131" s="459"/>
      <c r="BA131" s="507" t="s">
        <v>1602</v>
      </c>
      <c r="BB131" s="445"/>
      <c r="BC131" s="445"/>
      <c r="BD131" s="445"/>
      <c r="BE131" s="445"/>
      <c r="BF131" s="445"/>
      <c r="BG131" s="445"/>
      <c r="BH131" s="445"/>
      <c r="BI131" s="445"/>
      <c r="BJ131" s="445"/>
      <c r="BK131" s="445"/>
      <c r="BL131" s="413"/>
    </row>
    <row r="132" spans="2:69" ht="15.75" thickTop="1" x14ac:dyDescent="0.25">
      <c r="B132" s="168" t="s">
        <v>55</v>
      </c>
      <c r="Y132" s="3"/>
      <c r="AC132" s="508"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5"/>
      <c r="AP132" s="445"/>
      <c r="AQ132" s="445"/>
      <c r="AR132" s="445"/>
      <c r="AS132" s="445"/>
      <c r="AT132" s="445"/>
      <c r="AU132" s="445"/>
      <c r="AV132" s="445"/>
      <c r="AW132" s="445"/>
      <c r="AX132" s="459"/>
      <c r="BA132" s="381" t="s">
        <v>247</v>
      </c>
      <c r="BB132">
        <v>2030</v>
      </c>
      <c r="BC132" s="561">
        <v>150</v>
      </c>
      <c r="BD132" s="71">
        <v>617</v>
      </c>
      <c r="BE132" s="406">
        <v>539453</v>
      </c>
      <c r="BF132" s="73">
        <v>2.2000000000000002</v>
      </c>
      <c r="BG132" s="71">
        <v>0.1</v>
      </c>
      <c r="BH132" s="73">
        <v>0.28999999999999998</v>
      </c>
      <c r="BI132" s="406">
        <v>329122</v>
      </c>
      <c r="BJ132" s="558">
        <v>0.5</v>
      </c>
      <c r="BK132" s="65">
        <v>250000</v>
      </c>
      <c r="BL132" s="413">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8"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5"/>
      <c r="AP133" s="445"/>
      <c r="AQ133" s="445"/>
      <c r="AR133" s="445"/>
      <c r="AS133" s="445"/>
      <c r="AT133" s="445"/>
      <c r="AU133" s="445"/>
      <c r="AV133" s="445"/>
      <c r="AW133" s="445"/>
      <c r="AX133" s="459"/>
      <c r="BA133" s="381"/>
      <c r="BB133">
        <v>2050</v>
      </c>
      <c r="BC133" s="561">
        <v>150</v>
      </c>
      <c r="BD133" s="71">
        <v>513</v>
      </c>
      <c r="BE133" s="406">
        <v>417082</v>
      </c>
      <c r="BF133" s="73">
        <v>1.83</v>
      </c>
      <c r="BG133" s="71">
        <v>0.1</v>
      </c>
      <c r="BH133" s="73">
        <v>0.24</v>
      </c>
      <c r="BI133" s="406">
        <v>226507</v>
      </c>
      <c r="BJ133" s="558">
        <v>0.5</v>
      </c>
      <c r="BK133" s="65">
        <v>250000</v>
      </c>
      <c r="BL133" s="413">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8"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5"/>
      <c r="AP134" s="445"/>
      <c r="AQ134" s="445"/>
      <c r="AR134" s="445"/>
      <c r="AS134" s="445"/>
      <c r="AT134" s="445"/>
      <c r="AU134" s="445"/>
      <c r="AV134" s="445"/>
      <c r="AW134" s="445"/>
      <c r="AX134" s="459"/>
      <c r="BA134" s="381" t="s">
        <v>567</v>
      </c>
      <c r="BB134">
        <v>2030</v>
      </c>
      <c r="BC134" s="561">
        <v>300</v>
      </c>
      <c r="BD134" s="71">
        <v>46.08</v>
      </c>
      <c r="BE134" s="406">
        <v>456551</v>
      </c>
      <c r="BF134" s="73">
        <v>9.6000000000000002E-2</v>
      </c>
      <c r="BG134" s="71">
        <v>5</v>
      </c>
      <c r="BH134" s="73">
        <v>0.62</v>
      </c>
      <c r="BI134" s="406">
        <v>228276</v>
      </c>
      <c r="BJ134" s="558">
        <v>0.5</v>
      </c>
      <c r="BK134" s="65">
        <v>250000</v>
      </c>
      <c r="BL134" s="413">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8" t="s">
        <v>680</v>
      </c>
      <c r="AD135" s="65">
        <v>8636</v>
      </c>
      <c r="AE135" s="65">
        <v>9438</v>
      </c>
      <c r="AF135" s="65">
        <v>9120</v>
      </c>
      <c r="AG135" s="65">
        <v>9337</v>
      </c>
      <c r="AH135" s="65">
        <v>10264</v>
      </c>
      <c r="AI135" s="65">
        <v>10452</v>
      </c>
      <c r="AJ135" s="65">
        <v>11515</v>
      </c>
      <c r="AK135" s="65">
        <v>10538</v>
      </c>
      <c r="AL135" s="65">
        <v>10924</v>
      </c>
      <c r="AM135" s="65"/>
      <c r="AN135" s="65"/>
      <c r="AO135" s="445"/>
      <c r="AP135" s="445"/>
      <c r="AQ135" s="445"/>
      <c r="AR135" s="445"/>
      <c r="AS135" s="445"/>
      <c r="AT135" s="445"/>
      <c r="AU135" s="445"/>
      <c r="AV135" s="445"/>
      <c r="AW135" s="445"/>
      <c r="AX135" s="459"/>
      <c r="BA135" s="381"/>
      <c r="BB135">
        <v>2050</v>
      </c>
      <c r="BC135" s="561">
        <v>300</v>
      </c>
      <c r="BD135" s="71">
        <v>43.2</v>
      </c>
      <c r="BE135" s="406">
        <v>400842</v>
      </c>
      <c r="BF135" s="73">
        <v>0.09</v>
      </c>
      <c r="BG135" s="71">
        <v>5</v>
      </c>
      <c r="BH135" s="73">
        <v>0.59</v>
      </c>
      <c r="BI135" s="406">
        <v>200421</v>
      </c>
      <c r="BJ135" s="558">
        <v>0.5</v>
      </c>
      <c r="BK135" s="65">
        <v>250000</v>
      </c>
      <c r="BL135" s="413">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1" t="s">
        <v>681</v>
      </c>
      <c r="AD136" s="20">
        <v>730</v>
      </c>
      <c r="AE136" s="20">
        <v>751</v>
      </c>
      <c r="AF136" s="20">
        <v>783</v>
      </c>
      <c r="AG136" s="20">
        <v>771</v>
      </c>
      <c r="AH136" s="20">
        <v>748</v>
      </c>
      <c r="AI136" s="20">
        <v>723</v>
      </c>
      <c r="AJ136" s="20">
        <v>758</v>
      </c>
      <c r="AK136" s="20">
        <v>709</v>
      </c>
      <c r="AL136" s="20">
        <v>728</v>
      </c>
      <c r="AM136" s="65"/>
      <c r="AN136" s="65"/>
      <c r="AO136" s="445"/>
      <c r="AP136" s="445"/>
      <c r="AQ136" s="445"/>
      <c r="AR136" s="445"/>
      <c r="AS136" s="445"/>
      <c r="AT136" s="445"/>
      <c r="AU136" s="445"/>
      <c r="AV136" s="445"/>
      <c r="AW136" s="445"/>
      <c r="AX136" s="459"/>
      <c r="BA136" s="381" t="s">
        <v>1592</v>
      </c>
      <c r="BB136"/>
      <c r="BC136" s="561"/>
      <c r="BD136" s="71"/>
      <c r="BE136" s="406">
        <v>400000</v>
      </c>
      <c r="BF136" s="73">
        <v>6.5</v>
      </c>
      <c r="BG136" s="71">
        <v>4</v>
      </c>
      <c r="BH136" s="73">
        <v>0.62</v>
      </c>
      <c r="BI136" s="406">
        <v>200000</v>
      </c>
      <c r="BJ136" s="558">
        <v>1</v>
      </c>
      <c r="BK136" s="65">
        <v>250000</v>
      </c>
      <c r="BL136" s="413">
        <v>2.42</v>
      </c>
      <c r="BM136" s="360"/>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7" t="s">
        <v>674</v>
      </c>
      <c r="AD137" s="65"/>
      <c r="AE137" s="65"/>
      <c r="AF137" s="65"/>
      <c r="AG137" s="65"/>
      <c r="AH137" s="65"/>
      <c r="AI137" s="65"/>
      <c r="AJ137" s="65"/>
      <c r="AK137" s="65"/>
      <c r="AL137" s="65"/>
      <c r="AM137" s="65"/>
      <c r="AN137" s="65"/>
      <c r="AO137" s="445"/>
      <c r="AP137" s="445"/>
      <c r="AQ137" s="445"/>
      <c r="AR137" s="445"/>
      <c r="AS137" s="445"/>
      <c r="AT137" s="445"/>
      <c r="AU137" s="445"/>
      <c r="AV137" s="445"/>
      <c r="AW137" s="445"/>
      <c r="AX137" s="459"/>
      <c r="BA137" s="507" t="s">
        <v>1603</v>
      </c>
      <c r="BB137" s="503"/>
      <c r="BC137" s="503"/>
      <c r="BD137" s="503"/>
      <c r="BE137" s="503"/>
      <c r="BF137" s="503"/>
      <c r="BG137" s="503"/>
      <c r="BH137" s="503"/>
      <c r="BI137" s="503"/>
      <c r="BJ137" s="503"/>
      <c r="BK137" s="503"/>
      <c r="BL137" s="562"/>
    </row>
    <row r="138" spans="2:69" x14ac:dyDescent="0.25">
      <c r="AC138" s="497" t="s">
        <v>679</v>
      </c>
      <c r="AD138" s="65"/>
      <c r="AE138" s="65"/>
      <c r="AF138" s="65"/>
      <c r="AG138" s="65"/>
      <c r="AH138" s="65"/>
      <c r="AI138" s="65"/>
      <c r="AJ138" s="65"/>
      <c r="AK138" s="65"/>
      <c r="AL138" s="65"/>
      <c r="AM138" s="65"/>
      <c r="AN138" s="65"/>
      <c r="AO138" s="445"/>
      <c r="AP138" s="445"/>
      <c r="AQ138" s="445"/>
      <c r="AR138" s="445"/>
      <c r="AS138" s="445"/>
      <c r="AT138" s="445"/>
      <c r="AU138" s="445"/>
      <c r="AV138" s="445"/>
      <c r="AW138" s="445"/>
      <c r="AX138" s="459"/>
      <c r="BA138" s="381" t="s">
        <v>247</v>
      </c>
      <c r="BB138">
        <v>2030</v>
      </c>
      <c r="BC138" s="561">
        <v>350</v>
      </c>
      <c r="BD138" s="71">
        <v>805</v>
      </c>
      <c r="BE138" s="406">
        <v>657550</v>
      </c>
      <c r="BF138" s="73">
        <v>1.23</v>
      </c>
      <c r="BG138" s="71">
        <v>0.1</v>
      </c>
      <c r="BH138" s="73">
        <v>0.16</v>
      </c>
      <c r="BI138" s="406">
        <v>406260</v>
      </c>
      <c r="BJ138" s="558">
        <v>0.5</v>
      </c>
      <c r="BK138" s="65">
        <v>300000</v>
      </c>
      <c r="BL138" s="413">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7" t="s">
        <v>675</v>
      </c>
      <c r="AD139" s="65"/>
      <c r="AE139" s="65"/>
      <c r="AF139" s="65"/>
      <c r="AG139" s="65"/>
      <c r="AH139" s="65"/>
      <c r="AI139" s="65"/>
      <c r="AJ139" s="65"/>
      <c r="AK139" s="65"/>
      <c r="AL139" s="65"/>
      <c r="AM139" s="65"/>
      <c r="AN139" s="65"/>
      <c r="AO139" s="445"/>
      <c r="AP139" s="445"/>
      <c r="AQ139" s="445"/>
      <c r="AR139" s="445"/>
      <c r="AS139" s="445"/>
      <c r="AT139" s="445"/>
      <c r="AU139" s="445"/>
      <c r="AV139" s="445"/>
      <c r="AW139" s="445"/>
      <c r="AX139" s="459"/>
      <c r="BA139" s="381"/>
      <c r="BB139">
        <v>2050</v>
      </c>
      <c r="BC139" s="561">
        <v>350</v>
      </c>
      <c r="BD139" s="71">
        <v>622</v>
      </c>
      <c r="BE139" s="406">
        <v>437254</v>
      </c>
      <c r="BF139" s="73">
        <v>0.95</v>
      </c>
      <c r="BG139" s="71">
        <v>0.1</v>
      </c>
      <c r="BH139" s="73">
        <v>0.12</v>
      </c>
      <c r="BI139" s="563">
        <v>240389</v>
      </c>
      <c r="BJ139" s="564">
        <v>0.5</v>
      </c>
      <c r="BK139" s="490">
        <v>300000</v>
      </c>
      <c r="BL139" s="562">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7" t="s">
        <v>676</v>
      </c>
      <c r="AD140" s="65"/>
      <c r="AE140" s="65"/>
      <c r="AF140" s="65"/>
      <c r="AG140" s="65"/>
      <c r="AH140" s="65"/>
      <c r="AI140" s="65"/>
      <c r="AJ140" s="65"/>
      <c r="AK140" s="65"/>
      <c r="AL140" s="65"/>
      <c r="AM140" s="65"/>
      <c r="AN140" s="65"/>
      <c r="AO140" s="445"/>
      <c r="AP140" s="445"/>
      <c r="AQ140" s="445"/>
      <c r="AR140" s="445"/>
      <c r="AS140" s="445"/>
      <c r="AT140" s="445"/>
      <c r="AU140" s="445"/>
      <c r="AV140" s="445"/>
      <c r="AW140" s="445"/>
      <c r="AX140" s="459"/>
      <c r="BA140" s="381" t="s">
        <v>567</v>
      </c>
      <c r="BB140">
        <v>2030</v>
      </c>
      <c r="BC140" s="561">
        <v>500</v>
      </c>
      <c r="BD140" s="71">
        <v>132.80000000000001</v>
      </c>
      <c r="BE140" s="406">
        <v>484735</v>
      </c>
      <c r="BF140" s="73">
        <v>0.16600000000000001</v>
      </c>
      <c r="BG140" s="71">
        <v>5</v>
      </c>
      <c r="BH140" s="73">
        <v>1.08</v>
      </c>
      <c r="BI140" s="406">
        <v>242368</v>
      </c>
      <c r="BJ140" s="558">
        <v>0.5</v>
      </c>
      <c r="BK140" s="65">
        <v>300000</v>
      </c>
      <c r="BL140" s="413">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7" t="s">
        <v>677</v>
      </c>
      <c r="AD141" s="65"/>
      <c r="AE141" s="65"/>
      <c r="AF141" s="65"/>
      <c r="AG141" s="65"/>
      <c r="AH141" s="65"/>
      <c r="AI141" s="65"/>
      <c r="AJ141" s="65"/>
      <c r="AK141" s="65"/>
      <c r="AL141" s="65"/>
      <c r="AM141" s="65"/>
      <c r="AN141" s="65"/>
      <c r="AO141" s="445"/>
      <c r="AP141" s="445"/>
      <c r="AQ141" s="445"/>
      <c r="AR141" s="445"/>
      <c r="AS141" s="445"/>
      <c r="AT141" s="445"/>
      <c r="AU141" s="445"/>
      <c r="AV141" s="445"/>
      <c r="AW141" s="445"/>
      <c r="AX141" s="459"/>
      <c r="BA141" s="381"/>
      <c r="BB141">
        <v>2050</v>
      </c>
      <c r="BC141" s="561">
        <v>500</v>
      </c>
      <c r="BD141" s="71">
        <v>104</v>
      </c>
      <c r="BE141" s="406">
        <v>415258</v>
      </c>
      <c r="BF141" s="73">
        <v>0.13</v>
      </c>
      <c r="BG141" s="71">
        <v>5</v>
      </c>
      <c r="BH141" s="73">
        <v>0.85</v>
      </c>
      <c r="BI141" s="406">
        <v>207629</v>
      </c>
      <c r="BJ141" s="558">
        <v>0.5</v>
      </c>
      <c r="BK141" s="65">
        <v>300000</v>
      </c>
      <c r="BL141" s="413">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7" t="s">
        <v>678</v>
      </c>
      <c r="AD142" s="65"/>
      <c r="AE142" s="65"/>
      <c r="AF142" s="65"/>
      <c r="AG142" s="65"/>
      <c r="AH142" s="65"/>
      <c r="AI142" s="65"/>
      <c r="AJ142" s="65"/>
      <c r="AK142" s="65"/>
      <c r="AL142" s="65"/>
      <c r="AM142" s="65"/>
      <c r="AN142" s="65"/>
      <c r="AO142" s="445"/>
      <c r="AP142" s="445"/>
      <c r="AQ142" s="445"/>
      <c r="AR142" s="445"/>
      <c r="AS142" s="445"/>
      <c r="AT142" s="445"/>
      <c r="AU142" s="445"/>
      <c r="AV142" s="445"/>
      <c r="AW142" s="445"/>
      <c r="AX142" s="459"/>
      <c r="BA142" s="381" t="s">
        <v>1592</v>
      </c>
      <c r="BB142"/>
      <c r="BC142" s="561"/>
      <c r="BD142" s="71"/>
      <c r="BE142" s="406">
        <v>400000</v>
      </c>
      <c r="BF142" s="73">
        <v>8.5</v>
      </c>
      <c r="BG142" s="71">
        <v>4</v>
      </c>
      <c r="BH142" s="73">
        <v>0.47</v>
      </c>
      <c r="BI142" s="406">
        <v>200000</v>
      </c>
      <c r="BJ142" s="558">
        <v>1</v>
      </c>
      <c r="BK142" s="65">
        <v>300000</v>
      </c>
      <c r="BL142" s="413">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7"/>
      <c r="AD143" s="65"/>
      <c r="AE143" s="65"/>
      <c r="AF143" s="65"/>
      <c r="AG143" s="65"/>
      <c r="AH143" s="65"/>
      <c r="AI143" s="65"/>
      <c r="AJ143" s="65"/>
      <c r="AK143" s="65"/>
      <c r="AL143" s="65"/>
      <c r="AM143" s="65"/>
      <c r="AN143" s="65"/>
      <c r="AO143" s="445"/>
      <c r="AP143" s="445"/>
      <c r="AQ143" s="445"/>
      <c r="AR143" s="445"/>
      <c r="AS143" s="445"/>
      <c r="AT143" s="445"/>
      <c r="AU143" s="445"/>
      <c r="AV143" s="445"/>
      <c r="AW143" s="445"/>
      <c r="AX143" s="459"/>
      <c r="BA143" s="507" t="s">
        <v>1604</v>
      </c>
      <c r="BB143" s="445"/>
      <c r="BC143" s="445"/>
      <c r="BD143" s="445"/>
      <c r="BE143" s="445"/>
      <c r="BF143" s="445"/>
      <c r="BG143" s="445"/>
      <c r="BH143" s="445"/>
      <c r="BI143" s="445"/>
      <c r="BJ143" s="445"/>
      <c r="BK143" s="445"/>
      <c r="BL143" s="413"/>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2" t="s">
        <v>1197</v>
      </c>
      <c r="AD144" s="65"/>
      <c r="AE144" s="65"/>
      <c r="AF144" s="65"/>
      <c r="AG144" s="445"/>
      <c r="AH144" s="445"/>
      <c r="AI144" s="445"/>
      <c r="AJ144" s="445"/>
      <c r="AK144" s="445"/>
      <c r="AL144" s="513" t="s">
        <v>1667</v>
      </c>
      <c r="AM144" s="445"/>
      <c r="AN144" s="445"/>
      <c r="AO144" s="445"/>
      <c r="AP144" s="445"/>
      <c r="AQ144" s="445"/>
      <c r="AR144" s="445"/>
      <c r="AS144" s="445"/>
      <c r="AT144" s="445"/>
      <c r="AU144" s="445"/>
      <c r="AV144" s="445"/>
      <c r="AW144" s="445"/>
      <c r="AX144" s="459"/>
      <c r="BA144" s="381" t="s">
        <v>247</v>
      </c>
      <c r="BB144">
        <v>2030</v>
      </c>
      <c r="BC144" s="561">
        <v>300</v>
      </c>
      <c r="BD144" s="71">
        <v>2244</v>
      </c>
      <c r="BE144" s="406">
        <v>584988</v>
      </c>
      <c r="BF144" s="73">
        <v>2.4</v>
      </c>
      <c r="BG144" s="71">
        <v>0.1</v>
      </c>
      <c r="BH144" s="73">
        <v>0.31</v>
      </c>
      <c r="BI144" s="406">
        <v>508479</v>
      </c>
      <c r="BJ144" s="558">
        <v>9.5000000000000001E-2</v>
      </c>
      <c r="BK144" s="65">
        <v>500000</v>
      </c>
      <c r="BL144" s="413">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4" t="s">
        <v>1198</v>
      </c>
      <c r="AD145" s="263" t="s">
        <v>1201</v>
      </c>
      <c r="AE145" s="65"/>
      <c r="AF145" s="65"/>
      <c r="AG145" s="445"/>
      <c r="AH145" s="445"/>
      <c r="AI145" s="445"/>
      <c r="AJ145" s="445"/>
      <c r="AK145" s="445"/>
      <c r="AL145" s="1134" t="s">
        <v>105</v>
      </c>
      <c r="AM145" s="1119" t="s">
        <v>1647</v>
      </c>
      <c r="AN145" s="1119"/>
      <c r="AO145" s="1119"/>
      <c r="AP145" s="1128" t="s">
        <v>1662</v>
      </c>
      <c r="AQ145" s="1130" t="s">
        <v>1663</v>
      </c>
      <c r="AR145" s="1132" t="s">
        <v>1664</v>
      </c>
      <c r="AS145" s="445"/>
      <c r="AT145" s="445"/>
      <c r="AU145" s="445"/>
      <c r="AV145" s="445"/>
      <c r="AW145" s="445"/>
      <c r="AX145" s="459"/>
      <c r="BA145" s="381"/>
      <c r="BB145" s="498">
        <v>2050</v>
      </c>
      <c r="BC145" s="565">
        <v>300</v>
      </c>
      <c r="BD145" s="530">
        <v>1870</v>
      </c>
      <c r="BE145" s="406">
        <v>227080</v>
      </c>
      <c r="BF145" s="554">
        <v>2</v>
      </c>
      <c r="BG145" s="530">
        <v>0.1</v>
      </c>
      <c r="BH145" s="554">
        <v>0.26</v>
      </c>
      <c r="BI145" s="406">
        <v>178990</v>
      </c>
      <c r="BJ145" s="558">
        <v>9.5000000000000001E-2</v>
      </c>
      <c r="BK145" s="65">
        <v>500000</v>
      </c>
      <c r="BL145" s="413">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5" t="s">
        <v>1199</v>
      </c>
      <c r="AD146" s="516">
        <v>265</v>
      </c>
      <c r="AE146" s="65"/>
      <c r="AF146" s="65"/>
      <c r="AG146" s="445"/>
      <c r="AH146" s="445"/>
      <c r="AI146" s="445"/>
      <c r="AJ146" s="445"/>
      <c r="AK146" s="445"/>
      <c r="AL146" s="1135"/>
      <c r="AM146" s="317" t="s">
        <v>1660</v>
      </c>
      <c r="AN146" s="317" t="s">
        <v>1661</v>
      </c>
      <c r="AO146" s="317" t="s">
        <v>1648</v>
      </c>
      <c r="AP146" s="1129"/>
      <c r="AQ146" s="1131"/>
      <c r="AR146" s="1133"/>
      <c r="AS146" s="445"/>
      <c r="AT146" s="445"/>
      <c r="AU146" s="445"/>
      <c r="AV146" s="445"/>
      <c r="AW146" s="445"/>
      <c r="AX146" s="459"/>
      <c r="BA146" s="381" t="s">
        <v>567</v>
      </c>
      <c r="BB146" s="498">
        <v>2030</v>
      </c>
      <c r="BC146" s="565">
        <v>600</v>
      </c>
      <c r="BD146" s="530">
        <v>144</v>
      </c>
      <c r="BE146" s="406">
        <v>249900</v>
      </c>
      <c r="BF146" s="554">
        <v>0.15</v>
      </c>
      <c r="BG146" s="530">
        <v>5</v>
      </c>
      <c r="BH146" s="554">
        <v>0.98</v>
      </c>
      <c r="BI146" s="406">
        <v>124950</v>
      </c>
      <c r="BJ146" s="558">
        <v>9.5000000000000001E-2</v>
      </c>
      <c r="BK146" s="65">
        <v>500000</v>
      </c>
      <c r="BL146" s="413">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7" t="s">
        <v>1200</v>
      </c>
      <c r="AD147" s="65"/>
      <c r="AE147" s="65"/>
      <c r="AF147" s="65"/>
      <c r="AG147" s="445"/>
      <c r="AH147" s="445"/>
      <c r="AI147" s="445"/>
      <c r="AJ147" s="445"/>
      <c r="AK147" s="445"/>
      <c r="AL147" s="14" t="s">
        <v>1649</v>
      </c>
      <c r="AM147" s="445"/>
      <c r="AN147" s="445"/>
      <c r="AO147" s="445"/>
      <c r="AP147" s="445"/>
      <c r="AQ147" s="445"/>
      <c r="AR147" s="319"/>
      <c r="AS147" s="445"/>
      <c r="AT147" s="445"/>
      <c r="AU147" s="445"/>
      <c r="AV147" s="445"/>
      <c r="AW147" s="445"/>
      <c r="AX147" s="459"/>
      <c r="BA147" s="381"/>
      <c r="BB147" s="498">
        <v>2050</v>
      </c>
      <c r="BC147" s="565">
        <v>600</v>
      </c>
      <c r="BD147" s="530">
        <v>105.6</v>
      </c>
      <c r="BE147" s="406">
        <v>157988</v>
      </c>
      <c r="BF147" s="554">
        <v>0.11</v>
      </c>
      <c r="BG147" s="530">
        <v>5</v>
      </c>
      <c r="BH147" s="554">
        <v>0.72</v>
      </c>
      <c r="BI147" s="406">
        <v>78994</v>
      </c>
      <c r="BJ147" s="558">
        <v>9.5000000000000001E-2</v>
      </c>
      <c r="BK147" s="65">
        <v>500000</v>
      </c>
      <c r="BL147" s="413">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8"/>
      <c r="AD148" s="65"/>
      <c r="AE148" s="65"/>
      <c r="AF148" s="65"/>
      <c r="AG148" s="445"/>
      <c r="AH148" s="445"/>
      <c r="AI148" s="445"/>
      <c r="AJ148" s="445"/>
      <c r="AK148" s="445"/>
      <c r="AL148" s="519" t="s">
        <v>1650</v>
      </c>
      <c r="AM148" s="520">
        <v>3389.8</v>
      </c>
      <c r="AN148" s="520">
        <v>213.6</v>
      </c>
      <c r="AO148" s="520">
        <v>435.7</v>
      </c>
      <c r="AP148" s="520">
        <v>30729.3</v>
      </c>
      <c r="AQ148" s="520">
        <v>3597.1</v>
      </c>
      <c r="AR148" s="265">
        <f>SUM(AM148:AP148)-AQ148</f>
        <v>31171.300000000003</v>
      </c>
      <c r="AS148" s="445"/>
      <c r="AT148" s="445"/>
      <c r="AU148" s="445"/>
      <c r="AV148" s="445"/>
      <c r="AW148" s="445"/>
      <c r="AX148" s="459"/>
      <c r="BA148" s="381" t="s">
        <v>1592</v>
      </c>
      <c r="BB148" s="498"/>
      <c r="BC148" s="565"/>
      <c r="BD148" s="530"/>
      <c r="BE148" s="406">
        <v>134000</v>
      </c>
      <c r="BF148" s="554">
        <v>8.6999999999999993</v>
      </c>
      <c r="BG148" s="530">
        <v>4</v>
      </c>
      <c r="BH148" s="554">
        <v>0.46</v>
      </c>
      <c r="BI148" s="406">
        <v>67000</v>
      </c>
      <c r="BJ148" s="558">
        <v>0.19</v>
      </c>
      <c r="BK148" s="65">
        <v>500000</v>
      </c>
      <c r="BL148" s="413">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2" t="s">
        <v>1209</v>
      </c>
      <c r="AD149" s="65"/>
      <c r="AE149" s="65"/>
      <c r="AF149" s="65"/>
      <c r="AG149" s="445"/>
      <c r="AH149" s="445"/>
      <c r="AI149" s="445"/>
      <c r="AJ149" s="445"/>
      <c r="AK149" s="445"/>
      <c r="AL149" s="519" t="s">
        <v>1651</v>
      </c>
      <c r="AM149" s="520">
        <v>114.7</v>
      </c>
      <c r="AN149" s="520">
        <v>0.3</v>
      </c>
      <c r="AO149" s="520">
        <v>2.4</v>
      </c>
      <c r="AP149" s="520">
        <v>783.8</v>
      </c>
      <c r="AQ149" s="520">
        <v>40.299999999999997</v>
      </c>
      <c r="AR149" s="265">
        <f t="shared" ref="AR149:AR152" si="10">SUM(AM149:AP149)-AQ149</f>
        <v>860.9</v>
      </c>
      <c r="AS149" s="445"/>
      <c r="AT149" s="445"/>
      <c r="AU149" s="445"/>
      <c r="AV149" s="445"/>
      <c r="AW149" s="445"/>
      <c r="AX149" s="459"/>
      <c r="BA149" s="507" t="s">
        <v>1605</v>
      </c>
      <c r="BB149" s="445"/>
      <c r="BC149" s="445"/>
      <c r="BD149" s="445"/>
      <c r="BE149" s="445"/>
      <c r="BF149" s="445"/>
      <c r="BG149" s="445"/>
      <c r="BH149" s="445"/>
      <c r="BI149" s="445"/>
      <c r="BJ149" s="445"/>
      <c r="BK149" s="445"/>
      <c r="BL149" s="413"/>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4" t="s">
        <v>1212</v>
      </c>
      <c r="AD150" s="91">
        <v>2005</v>
      </c>
      <c r="AE150" s="91">
        <v>2006</v>
      </c>
      <c r="AF150" s="91">
        <v>2007</v>
      </c>
      <c r="AG150" s="91">
        <v>2008</v>
      </c>
      <c r="AH150" s="91">
        <v>2009</v>
      </c>
      <c r="AI150" s="91">
        <v>2010</v>
      </c>
      <c r="AJ150" s="91">
        <v>2011</v>
      </c>
      <c r="AK150" s="65"/>
      <c r="AL150" s="519" t="s">
        <v>1652</v>
      </c>
      <c r="AM150" s="520">
        <v>64.099999999999994</v>
      </c>
      <c r="AN150" s="520">
        <v>28.9</v>
      </c>
      <c r="AO150" s="520">
        <v>14.8</v>
      </c>
      <c r="AP150" s="520">
        <v>364.3</v>
      </c>
      <c r="AQ150" s="520">
        <v>63.6</v>
      </c>
      <c r="AR150" s="265">
        <f t="shared" si="10"/>
        <v>408.5</v>
      </c>
      <c r="AS150" s="445"/>
      <c r="AT150" s="445"/>
      <c r="AU150" s="445"/>
      <c r="AV150" s="445"/>
      <c r="AW150" s="445"/>
      <c r="AX150" s="459"/>
      <c r="BA150" s="381" t="s">
        <v>247</v>
      </c>
      <c r="BB150" s="498">
        <v>2030</v>
      </c>
      <c r="BC150" s="565">
        <v>150</v>
      </c>
      <c r="BD150" s="530">
        <v>654</v>
      </c>
      <c r="BE150" s="406">
        <v>335349</v>
      </c>
      <c r="BF150" s="554">
        <v>2.33</v>
      </c>
      <c r="BG150" s="530">
        <v>0.1</v>
      </c>
      <c r="BH150" s="554">
        <v>0.3</v>
      </c>
      <c r="BI150" s="406">
        <v>230580</v>
      </c>
      <c r="BJ150" s="558">
        <v>9.5000000000000001E-2</v>
      </c>
      <c r="BK150" s="65">
        <v>325000</v>
      </c>
      <c r="BL150" s="413">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1" t="s">
        <v>1214</v>
      </c>
      <c r="AD151" s="520">
        <v>50.9</v>
      </c>
      <c r="AE151" s="520">
        <v>54.7</v>
      </c>
      <c r="AF151" s="520">
        <v>57</v>
      </c>
      <c r="AG151" s="520">
        <v>55.8</v>
      </c>
      <c r="AH151" s="520">
        <v>44.5</v>
      </c>
      <c r="AI151" s="520">
        <v>47.8</v>
      </c>
      <c r="AJ151" s="520">
        <v>51</v>
      </c>
      <c r="AK151" s="65"/>
      <c r="AL151" s="519" t="s">
        <v>1653</v>
      </c>
      <c r="AM151" s="520"/>
      <c r="AN151" s="520"/>
      <c r="AO151" s="520"/>
      <c r="AP151" s="520">
        <v>625.9</v>
      </c>
      <c r="AQ151" s="520"/>
      <c r="AR151" s="265">
        <f t="shared" si="10"/>
        <v>625.9</v>
      </c>
      <c r="AS151" s="445"/>
      <c r="AT151" s="445"/>
      <c r="AU151" s="445"/>
      <c r="AV151" s="445"/>
      <c r="AW151" s="445"/>
      <c r="AX151" s="459"/>
      <c r="BA151" s="381"/>
      <c r="BB151" s="498">
        <v>2050</v>
      </c>
      <c r="BC151" s="565">
        <v>150</v>
      </c>
      <c r="BD151" s="530">
        <v>589</v>
      </c>
      <c r="BE151" s="406">
        <v>164641</v>
      </c>
      <c r="BF151" s="554">
        <v>2.1</v>
      </c>
      <c r="BG151" s="530">
        <v>0.1</v>
      </c>
      <c r="BH151" s="554">
        <v>0.27</v>
      </c>
      <c r="BI151" s="406">
        <v>102937</v>
      </c>
      <c r="BJ151" s="558">
        <v>9.5000000000000001E-2</v>
      </c>
      <c r="BK151" s="65">
        <v>325000</v>
      </c>
      <c r="BL151" s="413">
        <v>0.68</v>
      </c>
    </row>
    <row r="152" spans="2:64" x14ac:dyDescent="0.25">
      <c r="B152" s="171" t="s">
        <v>293</v>
      </c>
      <c r="AC152" s="508" t="s">
        <v>1210</v>
      </c>
      <c r="AD152" s="520">
        <v>23.6</v>
      </c>
      <c r="AE152" s="520">
        <v>24.1</v>
      </c>
      <c r="AF152" s="520">
        <v>28.4</v>
      </c>
      <c r="AG152" s="520">
        <v>26.9</v>
      </c>
      <c r="AH152" s="520">
        <v>22.3</v>
      </c>
      <c r="AI152" s="520">
        <v>23</v>
      </c>
      <c r="AJ152" s="520">
        <v>23</v>
      </c>
      <c r="AK152" s="65"/>
      <c r="AL152" s="519" t="s">
        <v>1654</v>
      </c>
      <c r="AM152" s="520">
        <v>871.7</v>
      </c>
      <c r="AN152" s="520">
        <v>1259.7</v>
      </c>
      <c r="AO152" s="520">
        <v>158.5</v>
      </c>
      <c r="AP152" s="520">
        <v>13913.2</v>
      </c>
      <c r="AQ152" s="520">
        <v>1552.5</v>
      </c>
      <c r="AR152" s="265">
        <f t="shared" si="10"/>
        <v>14650.6</v>
      </c>
      <c r="AS152" s="445"/>
      <c r="AT152" s="445"/>
      <c r="AU152" s="445"/>
      <c r="AV152" s="445"/>
      <c r="AW152" s="445"/>
      <c r="AX152" s="459"/>
      <c r="BA152" s="381" t="s">
        <v>567</v>
      </c>
      <c r="BB152" s="498">
        <v>2030</v>
      </c>
      <c r="BC152" s="565">
        <v>150</v>
      </c>
      <c r="BD152" s="530">
        <v>30.96</v>
      </c>
      <c r="BE152" s="406">
        <v>202112</v>
      </c>
      <c r="BF152" s="554">
        <v>0.129</v>
      </c>
      <c r="BG152" s="530">
        <v>5</v>
      </c>
      <c r="BH152" s="554">
        <v>0.84</v>
      </c>
      <c r="BI152" s="406">
        <v>101056</v>
      </c>
      <c r="BJ152" s="558">
        <v>9.5000000000000001E-2</v>
      </c>
      <c r="BK152" s="65">
        <v>325000</v>
      </c>
      <c r="BL152" s="413">
        <v>1.24</v>
      </c>
    </row>
    <row r="153" spans="2:64" x14ac:dyDescent="0.25">
      <c r="AC153" s="522" t="s">
        <v>1211</v>
      </c>
      <c r="AD153" s="523">
        <v>5</v>
      </c>
      <c r="AE153" s="523">
        <v>5.0999999999999996</v>
      </c>
      <c r="AF153" s="523">
        <v>4.7</v>
      </c>
      <c r="AG153" s="523">
        <v>5.2</v>
      </c>
      <c r="AH153" s="523">
        <v>4.7</v>
      </c>
      <c r="AI153" s="523">
        <v>4.4000000000000004</v>
      </c>
      <c r="AJ153" s="523">
        <v>4.4000000000000004</v>
      </c>
      <c r="AK153" s="65"/>
      <c r="AL153" s="519" t="s">
        <v>1655</v>
      </c>
      <c r="AM153" s="520">
        <f>SUM(AM148:AM152)</f>
        <v>4440.3</v>
      </c>
      <c r="AN153" s="520">
        <f t="shared" ref="AN153:AR153" si="11">SUM(AN148:AN152)</f>
        <v>1502.5</v>
      </c>
      <c r="AO153" s="520">
        <f t="shared" si="11"/>
        <v>611.4</v>
      </c>
      <c r="AP153" s="520">
        <f t="shared" si="11"/>
        <v>46416.5</v>
      </c>
      <c r="AQ153" s="520">
        <f t="shared" si="11"/>
        <v>5253.5</v>
      </c>
      <c r="AR153" s="265">
        <f t="shared" si="11"/>
        <v>47717.200000000004</v>
      </c>
      <c r="AS153" s="445"/>
      <c r="AT153" s="445"/>
      <c r="AU153" s="445"/>
      <c r="AV153" s="445"/>
      <c r="AW153" s="445"/>
      <c r="AX153" s="459"/>
      <c r="BA153" s="381"/>
      <c r="BB153" s="498">
        <v>2050</v>
      </c>
      <c r="BC153" s="565">
        <v>150</v>
      </c>
      <c r="BD153" s="530">
        <v>27.84</v>
      </c>
      <c r="BE153" s="406">
        <v>135503</v>
      </c>
      <c r="BF153" s="554">
        <v>0.11600000000000001</v>
      </c>
      <c r="BG153" s="530">
        <v>5</v>
      </c>
      <c r="BH153" s="554">
        <v>0.75</v>
      </c>
      <c r="BI153" s="406">
        <v>67752</v>
      </c>
      <c r="BJ153" s="558">
        <v>9.5000000000000001E-2</v>
      </c>
      <c r="BK153" s="65">
        <v>325000</v>
      </c>
      <c r="BL153" s="413">
        <v>1.06</v>
      </c>
    </row>
    <row r="154" spans="2:64" ht="15.75" x14ac:dyDescent="0.25">
      <c r="B154" s="183" t="s">
        <v>1986</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8" t="s">
        <v>1213</v>
      </c>
      <c r="AD154" s="520">
        <v>22.3</v>
      </c>
      <c r="AE154" s="520">
        <v>25.6</v>
      </c>
      <c r="AF154" s="520">
        <v>23.9</v>
      </c>
      <c r="AG154" s="520">
        <v>23.7</v>
      </c>
      <c r="AH154" s="520">
        <v>17.600000000000001</v>
      </c>
      <c r="AI154" s="520">
        <v>20.399999999999999</v>
      </c>
      <c r="AJ154" s="520">
        <v>23.6</v>
      </c>
      <c r="AK154" s="65"/>
      <c r="AL154" s="14" t="s">
        <v>1656</v>
      </c>
      <c r="AM154" s="520"/>
      <c r="AN154" s="520"/>
      <c r="AO154" s="520"/>
      <c r="AP154" s="520"/>
      <c r="AQ154" s="520"/>
      <c r="AR154" s="265"/>
      <c r="AS154" s="445"/>
      <c r="AT154" s="445"/>
      <c r="AU154" s="445"/>
      <c r="AV154" s="445"/>
      <c r="AW154" s="445"/>
      <c r="AX154" s="459"/>
      <c r="BA154" s="381" t="s">
        <v>1592</v>
      </c>
      <c r="BB154" s="498"/>
      <c r="BC154" s="565"/>
      <c r="BD154" s="530"/>
      <c r="BE154" s="406">
        <v>119000</v>
      </c>
      <c r="BF154" s="554">
        <v>8.1999999999999993</v>
      </c>
      <c r="BG154" s="530">
        <v>4</v>
      </c>
      <c r="BH154" s="554">
        <v>0.49</v>
      </c>
      <c r="BI154" s="406">
        <v>59500</v>
      </c>
      <c r="BJ154" s="558">
        <v>0.19</v>
      </c>
      <c r="BK154" s="65">
        <v>325000</v>
      </c>
      <c r="BL154" s="413">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7"/>
      <c r="AD155" s="65"/>
      <c r="AE155" s="65"/>
      <c r="AF155" s="65"/>
      <c r="AG155" s="65"/>
      <c r="AH155" s="65"/>
      <c r="AI155" s="65"/>
      <c r="AJ155" s="65"/>
      <c r="AK155" s="65"/>
      <c r="AL155" s="519" t="s">
        <v>1650</v>
      </c>
      <c r="AM155" s="520">
        <v>18122.8</v>
      </c>
      <c r="AN155" s="520">
        <v>632</v>
      </c>
      <c r="AO155" s="520">
        <v>5978.5</v>
      </c>
      <c r="AP155" s="520">
        <v>49997.8</v>
      </c>
      <c r="AQ155" s="520">
        <v>6074.4</v>
      </c>
      <c r="AR155" s="265">
        <f t="shared" ref="AR155:AR158" si="12">SUM(AM155:AP155)-AQ155</f>
        <v>68656.700000000012</v>
      </c>
      <c r="AS155" s="445"/>
      <c r="AT155" s="445"/>
      <c r="AU155" s="445"/>
      <c r="AV155" s="445"/>
      <c r="AW155" s="445"/>
      <c r="AX155" s="459"/>
      <c r="BA155" s="507" t="s">
        <v>1606</v>
      </c>
      <c r="BB155" s="445"/>
      <c r="BC155" s="445"/>
      <c r="BD155" s="445"/>
      <c r="BE155" s="445"/>
      <c r="BF155" s="445"/>
      <c r="BG155" s="445"/>
      <c r="BH155" s="445"/>
      <c r="BI155" s="445"/>
      <c r="BJ155" s="445"/>
      <c r="BK155" s="445"/>
      <c r="BL155" s="413"/>
    </row>
    <row r="156" spans="2:64" ht="16.5" thickTop="1" x14ac:dyDescent="0.25">
      <c r="B156" s="361" t="s">
        <v>34</v>
      </c>
      <c r="C156" s="363"/>
      <c r="AC156" s="524" t="s">
        <v>402</v>
      </c>
      <c r="AD156" s="184"/>
      <c r="AE156" s="184"/>
      <c r="AF156" s="184"/>
      <c r="AG156" s="184"/>
      <c r="AH156" s="184"/>
      <c r="AI156" s="184"/>
      <c r="AJ156" s="65"/>
      <c r="AK156" s="65"/>
      <c r="AL156" s="519" t="s">
        <v>260</v>
      </c>
      <c r="AM156" s="520">
        <v>477.5</v>
      </c>
      <c r="AN156" s="520">
        <v>0.9</v>
      </c>
      <c r="AO156" s="520">
        <v>21.8</v>
      </c>
      <c r="AP156" s="520">
        <v>2431.9</v>
      </c>
      <c r="AQ156" s="520">
        <v>110.2</v>
      </c>
      <c r="AR156" s="265">
        <f t="shared" si="12"/>
        <v>2821.9</v>
      </c>
      <c r="AS156" s="445"/>
      <c r="AT156" s="445"/>
      <c r="AU156" s="445"/>
      <c r="AV156" s="445"/>
      <c r="AW156" s="445"/>
      <c r="AX156" s="459"/>
      <c r="BA156" s="381" t="s">
        <v>247</v>
      </c>
      <c r="BB156" s="498">
        <v>2030</v>
      </c>
      <c r="BC156" s="565">
        <v>150</v>
      </c>
      <c r="BD156" s="530">
        <v>149</v>
      </c>
      <c r="BE156" s="406">
        <v>84403</v>
      </c>
      <c r="BF156" s="554">
        <v>0.53</v>
      </c>
      <c r="BG156" s="530">
        <v>0.1</v>
      </c>
      <c r="BH156" s="554">
        <v>7.0000000000000007E-2</v>
      </c>
      <c r="BI156" s="406">
        <v>52608</v>
      </c>
      <c r="BJ156" s="558">
        <v>0.14399999999999999</v>
      </c>
      <c r="BK156" s="65">
        <v>120000</v>
      </c>
      <c r="BL156" s="413">
        <v>0.65</v>
      </c>
    </row>
    <row r="157" spans="2:64" x14ac:dyDescent="0.25">
      <c r="B157" s="362" t="s">
        <v>1985</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5"/>
      <c r="AD157" s="1123" t="s">
        <v>403</v>
      </c>
      <c r="AE157" s="1124"/>
      <c r="AF157" s="1125"/>
      <c r="AG157" s="1123" t="s">
        <v>395</v>
      </c>
      <c r="AH157" s="1124"/>
      <c r="AI157" s="1124"/>
      <c r="AJ157" s="65"/>
      <c r="AK157" s="65"/>
      <c r="AL157" s="519" t="s">
        <v>1657</v>
      </c>
      <c r="AM157" s="520">
        <v>268.5</v>
      </c>
      <c r="AN157" s="520">
        <v>0.5</v>
      </c>
      <c r="AO157" s="520">
        <v>12.2</v>
      </c>
      <c r="AP157" s="520">
        <v>2791.2</v>
      </c>
      <c r="AQ157" s="520">
        <v>61.9</v>
      </c>
      <c r="AR157" s="265">
        <f t="shared" si="12"/>
        <v>3010.4999999999995</v>
      </c>
      <c r="AS157" s="445"/>
      <c r="AT157" s="445"/>
      <c r="AU157" s="445"/>
      <c r="AV157" s="445"/>
      <c r="AW157" s="445"/>
      <c r="AX157" s="459"/>
      <c r="BA157" s="381"/>
      <c r="BB157" s="498">
        <v>2050</v>
      </c>
      <c r="BC157" s="565">
        <v>150</v>
      </c>
      <c r="BD157" s="530">
        <v>163</v>
      </c>
      <c r="BE157" s="406">
        <v>56717</v>
      </c>
      <c r="BF157" s="554">
        <v>0.57999999999999996</v>
      </c>
      <c r="BG157" s="530">
        <v>0.1</v>
      </c>
      <c r="BH157" s="554">
        <v>0.08</v>
      </c>
      <c r="BI157" s="406">
        <v>32914</v>
      </c>
      <c r="BJ157" s="558">
        <v>0.14399999999999999</v>
      </c>
      <c r="BK157" s="65">
        <v>120000</v>
      </c>
      <c r="BL157" s="413">
        <v>0.49</v>
      </c>
    </row>
    <row r="158" spans="2:64" ht="15.75" thickBot="1" x14ac:dyDescent="0.3">
      <c r="B158" s="362" t="s">
        <v>1984</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6" t="s">
        <v>400</v>
      </c>
      <c r="AD158" s="185">
        <v>2002</v>
      </c>
      <c r="AE158" s="91">
        <v>2012</v>
      </c>
      <c r="AF158" s="92">
        <v>2022</v>
      </c>
      <c r="AG158" s="91">
        <v>2002</v>
      </c>
      <c r="AH158" s="91">
        <v>2012</v>
      </c>
      <c r="AI158" s="91">
        <v>2022</v>
      </c>
      <c r="AJ158" s="65"/>
      <c r="AK158" s="65"/>
      <c r="AL158" s="519" t="s">
        <v>1658</v>
      </c>
      <c r="AM158" s="520">
        <v>882.6</v>
      </c>
      <c r="AN158" s="520">
        <v>930.2</v>
      </c>
      <c r="AO158" s="520"/>
      <c r="AP158" s="520">
        <v>225</v>
      </c>
      <c r="AQ158" s="520">
        <v>101.6</v>
      </c>
      <c r="AR158" s="265">
        <f t="shared" si="12"/>
        <v>1936.2000000000003</v>
      </c>
      <c r="AS158" s="445"/>
      <c r="AT158" s="445"/>
      <c r="AU158" s="445"/>
      <c r="AV158" s="445"/>
      <c r="AW158" s="445"/>
      <c r="AX158" s="459"/>
      <c r="BA158" s="381" t="s">
        <v>567</v>
      </c>
      <c r="BB158" s="498">
        <v>2030</v>
      </c>
      <c r="BC158" s="565">
        <v>150</v>
      </c>
      <c r="BD158" s="530">
        <v>6.96</v>
      </c>
      <c r="BE158" s="406">
        <v>84412</v>
      </c>
      <c r="BF158" s="554">
        <v>2.9000000000000001E-2</v>
      </c>
      <c r="BG158" s="530">
        <v>5</v>
      </c>
      <c r="BH158" s="554">
        <v>0.19</v>
      </c>
      <c r="BI158" s="406">
        <v>42206</v>
      </c>
      <c r="BJ158" s="558">
        <v>0.14399999999999999</v>
      </c>
      <c r="BK158" s="65">
        <v>120000</v>
      </c>
      <c r="BL158" s="413">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7" t="s">
        <v>396</v>
      </c>
      <c r="AD159" s="186">
        <v>1165</v>
      </c>
      <c r="AE159" s="65">
        <v>1293</v>
      </c>
      <c r="AF159" s="90">
        <v>898</v>
      </c>
      <c r="AG159" s="65">
        <v>65</v>
      </c>
      <c r="AH159" s="65">
        <v>71</v>
      </c>
      <c r="AI159" s="65">
        <v>42</v>
      </c>
      <c r="AJ159" s="65"/>
      <c r="AK159" s="65"/>
      <c r="AL159" s="519" t="s">
        <v>1655</v>
      </c>
      <c r="AM159" s="520">
        <f>SUM(AM155:AM158)</f>
        <v>19751.399999999998</v>
      </c>
      <c r="AN159" s="520">
        <f t="shared" ref="AN159:AR159" si="13">SUM(AN155:AN158)</f>
        <v>1563.6</v>
      </c>
      <c r="AO159" s="520">
        <f t="shared" si="13"/>
        <v>6012.5</v>
      </c>
      <c r="AP159" s="520">
        <f t="shared" si="13"/>
        <v>55445.9</v>
      </c>
      <c r="AQ159" s="520">
        <f t="shared" si="13"/>
        <v>6348.0999999999995</v>
      </c>
      <c r="AR159" s="265">
        <f t="shared" si="13"/>
        <v>76425.3</v>
      </c>
      <c r="AS159" s="445"/>
      <c r="AT159" s="445"/>
      <c r="AU159" s="445"/>
      <c r="AV159" s="445"/>
      <c r="AW159" s="445"/>
      <c r="AX159" s="459"/>
      <c r="BA159" s="381"/>
      <c r="BB159" s="498">
        <v>2050</v>
      </c>
      <c r="BC159" s="565">
        <v>150</v>
      </c>
      <c r="BD159" s="530">
        <v>6.24</v>
      </c>
      <c r="BE159" s="406">
        <v>58538</v>
      </c>
      <c r="BF159" s="554">
        <v>2.5999999999999999E-2</v>
      </c>
      <c r="BG159" s="530">
        <v>5</v>
      </c>
      <c r="BH159" s="554">
        <v>0.17</v>
      </c>
      <c r="BI159" s="406">
        <v>29269</v>
      </c>
      <c r="BJ159" s="558">
        <v>0.14399999999999999</v>
      </c>
      <c r="BK159" s="65">
        <v>120000</v>
      </c>
      <c r="BL159" s="413">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7" t="s">
        <v>397</v>
      </c>
      <c r="AD160" s="186">
        <v>365</v>
      </c>
      <c r="AE160" s="65">
        <v>397</v>
      </c>
      <c r="AF160" s="90">
        <v>324</v>
      </c>
      <c r="AG160" s="65">
        <v>61</v>
      </c>
      <c r="AH160" s="65">
        <v>67</v>
      </c>
      <c r="AI160" s="65">
        <v>69</v>
      </c>
      <c r="AJ160" s="65"/>
      <c r="AK160" s="65"/>
      <c r="AL160" s="14" t="s">
        <v>600</v>
      </c>
      <c r="AM160" s="520"/>
      <c r="AN160" s="520"/>
      <c r="AO160" s="520"/>
      <c r="AP160" s="520"/>
      <c r="AQ160" s="520"/>
      <c r="AR160" s="265"/>
      <c r="AS160" s="321" t="s">
        <v>1665</v>
      </c>
      <c r="AT160" s="445"/>
      <c r="AU160" s="445"/>
      <c r="AV160" s="445"/>
      <c r="AW160" s="445"/>
      <c r="AX160" s="459"/>
      <c r="BA160" s="388" t="s">
        <v>1592</v>
      </c>
      <c r="BB160" s="465"/>
      <c r="BC160" s="465"/>
      <c r="BD160" s="465"/>
      <c r="BE160" s="566">
        <v>42000</v>
      </c>
      <c r="BF160" s="567">
        <v>18.600000000000001</v>
      </c>
      <c r="BG160" s="568">
        <v>4</v>
      </c>
      <c r="BH160" s="567">
        <v>0.22</v>
      </c>
      <c r="BI160" s="566">
        <v>21000</v>
      </c>
      <c r="BJ160" s="569">
        <v>0.28799999999999998</v>
      </c>
      <c r="BK160" s="480">
        <v>120000</v>
      </c>
      <c r="BL160" s="570">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7" t="s">
        <v>398</v>
      </c>
      <c r="AD161" s="186">
        <v>206</v>
      </c>
      <c r="AE161" s="65">
        <v>147</v>
      </c>
      <c r="AF161" s="90">
        <v>469</v>
      </c>
      <c r="AG161" s="65">
        <v>27</v>
      </c>
      <c r="AH161" s="65">
        <v>20</v>
      </c>
      <c r="AI161" s="65">
        <v>46</v>
      </c>
      <c r="AJ161" s="65"/>
      <c r="AK161" s="65"/>
      <c r="AL161" s="519" t="s">
        <v>1659</v>
      </c>
      <c r="AM161" s="520">
        <v>10301.9</v>
      </c>
      <c r="AN161" s="520">
        <v>67.599999999999994</v>
      </c>
      <c r="AO161" s="520">
        <v>354.5</v>
      </c>
      <c r="AP161" s="520">
        <v>41835.599999999999</v>
      </c>
      <c r="AQ161" s="520">
        <v>2728.7</v>
      </c>
      <c r="AR161" s="265">
        <f t="shared" ref="AR161:AR164" si="14">SUM(AM161:AP161)-AQ161</f>
        <v>49830.9</v>
      </c>
      <c r="AS161" s="86">
        <f>AN164/AN152</f>
        <v>8.6211002619671337E-2</v>
      </c>
      <c r="AT161" s="445"/>
      <c r="AU161" s="445"/>
      <c r="AV161" s="445"/>
      <c r="AW161" s="445"/>
      <c r="AX161" s="459"/>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7" t="s">
        <v>75</v>
      </c>
      <c r="AD162" s="186">
        <v>35</v>
      </c>
      <c r="AE162" s="65">
        <v>39</v>
      </c>
      <c r="AF162" s="90">
        <v>257</v>
      </c>
      <c r="AG162" s="65">
        <v>6</v>
      </c>
      <c r="AH162" s="65">
        <v>6</v>
      </c>
      <c r="AI162" s="65">
        <v>20</v>
      </c>
      <c r="AJ162" s="65"/>
      <c r="AK162" s="65"/>
      <c r="AL162" s="519" t="s">
        <v>1652</v>
      </c>
      <c r="AM162" s="520">
        <v>1971.5</v>
      </c>
      <c r="AN162" s="520">
        <v>806</v>
      </c>
      <c r="AO162" s="520">
        <v>248.1</v>
      </c>
      <c r="AP162" s="520">
        <v>3707.9</v>
      </c>
      <c r="AQ162" s="520"/>
      <c r="AR162" s="265">
        <f t="shared" si="14"/>
        <v>6733.5</v>
      </c>
      <c r="AS162" s="321" t="s">
        <v>1666</v>
      </c>
      <c r="AT162" s="445"/>
      <c r="AU162" s="445"/>
      <c r="AV162" s="445"/>
      <c r="AW162" s="445"/>
      <c r="AX162" s="459"/>
    </row>
    <row r="163" spans="2:50" ht="15.75" thickBot="1" x14ac:dyDescent="0.3">
      <c r="B163" s="168" t="s">
        <v>198</v>
      </c>
      <c r="AC163" s="487" t="s">
        <v>399</v>
      </c>
      <c r="AD163" s="186">
        <v>559</v>
      </c>
      <c r="AE163" s="65">
        <v>657</v>
      </c>
      <c r="AF163" s="90">
        <v>329</v>
      </c>
      <c r="AG163" s="65">
        <v>24</v>
      </c>
      <c r="AH163" s="65">
        <v>29</v>
      </c>
      <c r="AI163" s="65">
        <v>24</v>
      </c>
      <c r="AJ163" s="65"/>
      <c r="AK163" s="65"/>
      <c r="AL163" s="519" t="s">
        <v>201</v>
      </c>
      <c r="AM163" s="520">
        <v>502.7</v>
      </c>
      <c r="AN163" s="520">
        <v>528.70000000000005</v>
      </c>
      <c r="AO163" s="520">
        <v>188.1</v>
      </c>
      <c r="AP163" s="520">
        <v>1282</v>
      </c>
      <c r="AQ163" s="520">
        <v>91.8</v>
      </c>
      <c r="AR163" s="265">
        <f t="shared" si="14"/>
        <v>2409.6999999999998</v>
      </c>
      <c r="AS163" s="86">
        <f>AP164/AP152</f>
        <v>8.9274933157001968E-2</v>
      </c>
      <c r="AT163" s="445"/>
      <c r="AU163" s="445"/>
      <c r="AV163" s="445"/>
      <c r="AW163" s="445"/>
      <c r="AX163" s="459"/>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7" t="s">
        <v>248</v>
      </c>
      <c r="AD164" s="187">
        <v>2330</v>
      </c>
      <c r="AE164" s="93">
        <v>2532</v>
      </c>
      <c r="AF164" s="94">
        <v>2277</v>
      </c>
      <c r="AG164" s="93">
        <v>183</v>
      </c>
      <c r="AH164" s="93">
        <v>193</v>
      </c>
      <c r="AI164" s="93">
        <v>201</v>
      </c>
      <c r="AJ164" s="65"/>
      <c r="AK164" s="65"/>
      <c r="AL164" s="519" t="s">
        <v>1654</v>
      </c>
      <c r="AM164" s="520">
        <v>76.900000000000006</v>
      </c>
      <c r="AN164" s="520">
        <v>108.6</v>
      </c>
      <c r="AO164" s="520">
        <v>14.1</v>
      </c>
      <c r="AP164" s="520">
        <v>1242.0999999999999</v>
      </c>
      <c r="AQ164" s="520">
        <v>204.2</v>
      </c>
      <c r="AR164" s="265">
        <f t="shared" si="14"/>
        <v>1237.4999999999998</v>
      </c>
      <c r="AS164" s="445"/>
      <c r="AT164" s="445"/>
      <c r="AU164" s="445"/>
      <c r="AV164" s="445"/>
      <c r="AW164" s="445"/>
      <c r="AX164" s="459"/>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7" t="s">
        <v>401</v>
      </c>
      <c r="AD165" s="65"/>
      <c r="AE165" s="65"/>
      <c r="AF165" s="90"/>
      <c r="AG165" s="65"/>
      <c r="AH165" s="65"/>
      <c r="AI165" s="65"/>
      <c r="AJ165" s="65"/>
      <c r="AK165" s="65"/>
      <c r="AL165" s="519" t="s">
        <v>1655</v>
      </c>
      <c r="AM165" s="520">
        <f>SUM(AM161:AM164)</f>
        <v>12853</v>
      </c>
      <c r="AN165" s="520">
        <f t="shared" ref="AN165:AR165" si="15">SUM(AN161:AN164)</f>
        <v>1510.9</v>
      </c>
      <c r="AO165" s="520">
        <f t="shared" si="15"/>
        <v>804.80000000000007</v>
      </c>
      <c r="AP165" s="520">
        <f t="shared" si="15"/>
        <v>48067.6</v>
      </c>
      <c r="AQ165" s="520">
        <f t="shared" si="15"/>
        <v>3024.7</v>
      </c>
      <c r="AR165" s="265">
        <f t="shared" si="15"/>
        <v>60211.6</v>
      </c>
      <c r="AS165" s="445"/>
      <c r="AT165" s="445"/>
      <c r="AU165" s="445"/>
      <c r="AV165" s="445"/>
      <c r="AW165" s="445"/>
      <c r="AX165" s="459"/>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7"/>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5"/>
      <c r="AT166" s="445"/>
      <c r="AU166" s="445"/>
      <c r="AV166" s="445"/>
      <c r="AW166" s="445"/>
      <c r="AX166" s="459"/>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8" t="s">
        <v>1142</v>
      </c>
      <c r="AD167" s="65"/>
      <c r="AE167" s="65"/>
      <c r="AF167" s="65"/>
      <c r="AG167" s="65"/>
      <c r="AH167" s="65"/>
      <c r="AI167" s="65"/>
      <c r="AJ167" s="65"/>
      <c r="AK167" s="65"/>
      <c r="AL167" s="65"/>
      <c r="AM167" s="65"/>
      <c r="AN167" s="65"/>
      <c r="AO167" s="445"/>
      <c r="AP167" s="445"/>
      <c r="AQ167" s="445"/>
      <c r="AR167" s="445"/>
      <c r="AS167" s="445"/>
      <c r="AT167" s="445"/>
      <c r="AU167" s="445"/>
      <c r="AV167" s="445"/>
      <c r="AW167" s="445"/>
      <c r="AX167" s="459"/>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6" t="s">
        <v>400</v>
      </c>
      <c r="AD168" s="91">
        <v>2016</v>
      </c>
      <c r="AE168" s="91">
        <v>2017</v>
      </c>
      <c r="AF168" s="91">
        <v>2018</v>
      </c>
      <c r="AG168" s="91">
        <v>2019</v>
      </c>
      <c r="AH168" s="91">
        <v>2020</v>
      </c>
      <c r="AI168" s="91">
        <v>2021</v>
      </c>
      <c r="AJ168" s="65"/>
      <c r="AK168" s="65"/>
      <c r="AL168" s="65"/>
      <c r="AM168" s="65"/>
      <c r="AN168" s="65"/>
      <c r="AO168" s="445"/>
      <c r="AP168" s="445"/>
      <c r="AQ168" s="445"/>
      <c r="AR168" s="445"/>
      <c r="AS168" s="445"/>
      <c r="AT168" s="445"/>
      <c r="AU168" s="445"/>
      <c r="AV168" s="445"/>
      <c r="AW168" s="445"/>
      <c r="AX168" s="459"/>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7" t="s">
        <v>1131</v>
      </c>
      <c r="AD169" s="479">
        <v>1437679</v>
      </c>
      <c r="AE169" s="479">
        <v>1780158</v>
      </c>
      <c r="AF169" s="479">
        <v>1788899</v>
      </c>
      <c r="AG169" s="479">
        <v>1950710</v>
      </c>
      <c r="AH169" s="479">
        <v>1878071</v>
      </c>
      <c r="AI169" s="479">
        <v>1810231</v>
      </c>
      <c r="AJ169" s="65"/>
      <c r="AK169" s="65"/>
      <c r="AL169" s="65"/>
      <c r="AM169" s="65"/>
      <c r="AN169" s="65"/>
      <c r="AO169" s="445"/>
      <c r="AP169" s="445"/>
      <c r="AQ169" s="445"/>
      <c r="AR169" s="445"/>
      <c r="AS169" s="445"/>
      <c r="AT169" s="445"/>
      <c r="AU169" s="445"/>
      <c r="AV169" s="445"/>
      <c r="AW169" s="445"/>
      <c r="AX169" s="459"/>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9" t="s">
        <v>1140</v>
      </c>
      <c r="AD170" s="65">
        <v>1436036</v>
      </c>
      <c r="AE170" s="65">
        <v>1778267</v>
      </c>
      <c r="AF170" s="65">
        <v>1787081</v>
      </c>
      <c r="AG170" s="65">
        <v>1948853</v>
      </c>
      <c r="AH170" s="65">
        <v>1876333</v>
      </c>
      <c r="AI170" s="65">
        <v>1808026</v>
      </c>
      <c r="AJ170" s="65"/>
      <c r="AK170" s="65"/>
      <c r="AL170" s="65"/>
      <c r="AM170" s="65"/>
      <c r="AN170" s="65"/>
      <c r="AO170" s="445"/>
      <c r="AP170" s="445"/>
      <c r="AQ170" s="445"/>
      <c r="AR170" s="445"/>
      <c r="AS170" s="445"/>
      <c r="AT170" s="445"/>
      <c r="AU170" s="445"/>
      <c r="AV170" s="445"/>
      <c r="AW170" s="445"/>
      <c r="AX170" s="459"/>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9" t="s">
        <v>1141</v>
      </c>
      <c r="AD171" s="65">
        <v>1643</v>
      </c>
      <c r="AE171" s="65">
        <v>1891</v>
      </c>
      <c r="AF171" s="65">
        <v>1818</v>
      </c>
      <c r="AG171" s="65">
        <v>1857</v>
      </c>
      <c r="AH171" s="65">
        <v>1738</v>
      </c>
      <c r="AI171" s="65">
        <v>2205</v>
      </c>
      <c r="AJ171" s="65"/>
      <c r="AK171" s="65"/>
      <c r="AL171" s="65"/>
      <c r="AM171" s="65"/>
      <c r="AN171" s="65"/>
      <c r="AO171" s="445"/>
      <c r="AP171" s="445"/>
      <c r="AQ171" s="445"/>
      <c r="AR171" s="445"/>
      <c r="AS171" s="445"/>
      <c r="AT171" s="445"/>
      <c r="AU171" s="445"/>
      <c r="AV171" s="445"/>
      <c r="AW171" s="445"/>
      <c r="AX171" s="459"/>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7" t="s">
        <v>982</v>
      </c>
      <c r="AD172" s="479">
        <v>2005387</v>
      </c>
      <c r="AE172" s="479">
        <v>2423331</v>
      </c>
      <c r="AF172" s="479">
        <v>2665591</v>
      </c>
      <c r="AG172" s="479">
        <v>2640766</v>
      </c>
      <c r="AH172" s="479">
        <v>2503856</v>
      </c>
      <c r="AI172" s="479">
        <v>2834275</v>
      </c>
      <c r="AJ172" s="65"/>
      <c r="AK172" s="65"/>
      <c r="AL172" s="65"/>
      <c r="AM172" s="65"/>
      <c r="AN172" s="65"/>
      <c r="AO172" s="445"/>
      <c r="AP172" s="445"/>
      <c r="AQ172" s="445"/>
      <c r="AR172" s="445"/>
      <c r="AS172" s="445"/>
      <c r="AT172" s="445"/>
      <c r="AU172" s="445"/>
      <c r="AV172" s="445"/>
      <c r="AW172" s="445"/>
      <c r="AX172" s="459"/>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9" t="s">
        <v>1140</v>
      </c>
      <c r="AD173" s="65">
        <v>2001562</v>
      </c>
      <c r="AE173" s="65">
        <v>2419275</v>
      </c>
      <c r="AF173" s="65">
        <v>2661462</v>
      </c>
      <c r="AG173" s="65">
        <v>2636679</v>
      </c>
      <c r="AH173" s="65">
        <v>2500241</v>
      </c>
      <c r="AI173" s="65">
        <v>2830314</v>
      </c>
      <c r="AJ173" s="65"/>
      <c r="AK173" s="65"/>
      <c r="AL173" s="65"/>
      <c r="AM173" s="65"/>
      <c r="AN173" s="65"/>
      <c r="AO173" s="445"/>
      <c r="AP173" s="445"/>
      <c r="AQ173" s="445"/>
      <c r="AR173" s="445"/>
      <c r="AS173" s="445"/>
      <c r="AT173" s="445"/>
      <c r="AU173" s="445"/>
      <c r="AV173" s="445"/>
      <c r="AW173" s="445"/>
      <c r="AX173" s="459"/>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9" t="s">
        <v>1141</v>
      </c>
      <c r="AD174" s="65">
        <v>3825</v>
      </c>
      <c r="AE174" s="65">
        <v>4056</v>
      </c>
      <c r="AF174" s="65">
        <v>4129</v>
      </c>
      <c r="AG174" s="65">
        <v>4087</v>
      </c>
      <c r="AH174" s="65">
        <v>3615</v>
      </c>
      <c r="AI174" s="65">
        <v>3961</v>
      </c>
      <c r="AJ174" s="65"/>
      <c r="AK174" s="65"/>
      <c r="AL174" s="65"/>
      <c r="AM174" s="65"/>
      <c r="AN174" s="65"/>
      <c r="AO174" s="445"/>
      <c r="AP174" s="445"/>
      <c r="AQ174" s="445"/>
      <c r="AR174" s="445"/>
      <c r="AS174" s="445"/>
      <c r="AT174" s="445"/>
      <c r="AU174" s="445"/>
      <c r="AV174" s="445"/>
      <c r="AW174" s="445"/>
      <c r="AX174" s="459"/>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7" t="s">
        <v>1132</v>
      </c>
      <c r="AD175" s="479">
        <v>4463217</v>
      </c>
      <c r="AE175" s="479">
        <v>5085815</v>
      </c>
      <c r="AF175" s="479">
        <v>5350740</v>
      </c>
      <c r="AG175" s="479">
        <v>5188378</v>
      </c>
      <c r="AH175" s="479">
        <v>4978962</v>
      </c>
      <c r="AI175" s="479">
        <v>5193346</v>
      </c>
      <c r="AJ175" s="65"/>
      <c r="AK175" s="65"/>
      <c r="AL175" s="65"/>
      <c r="AM175" s="65"/>
      <c r="AN175" s="65"/>
      <c r="AO175" s="445"/>
      <c r="AP175" s="445"/>
      <c r="AQ175" s="445"/>
      <c r="AR175" s="445"/>
      <c r="AS175" s="445"/>
      <c r="AT175" s="445"/>
      <c r="AU175" s="445"/>
      <c r="AV175" s="445"/>
      <c r="AW175" s="445"/>
      <c r="AX175" s="459"/>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9" t="s">
        <v>1140</v>
      </c>
      <c r="AD176" s="65">
        <v>4455320</v>
      </c>
      <c r="AE176" s="65">
        <v>5076340</v>
      </c>
      <c r="AF176" s="65">
        <v>5342020</v>
      </c>
      <c r="AG176" s="65">
        <v>5179701</v>
      </c>
      <c r="AH176" s="65">
        <v>4970884</v>
      </c>
      <c r="AI176" s="65">
        <v>5184812</v>
      </c>
      <c r="AJ176" s="65"/>
      <c r="AK176" s="65"/>
      <c r="AL176" s="65"/>
      <c r="AM176" s="65"/>
      <c r="AN176" s="65"/>
      <c r="AO176" s="445"/>
      <c r="AP176" s="445"/>
      <c r="AQ176" s="445"/>
      <c r="AR176" s="445"/>
      <c r="AS176" s="445"/>
      <c r="AT176" s="445"/>
      <c r="AU176" s="445"/>
      <c r="AV176" s="445"/>
      <c r="AW176" s="445"/>
      <c r="AX176" s="459"/>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9" t="s">
        <v>1141</v>
      </c>
      <c r="AD177" s="65">
        <v>7897</v>
      </c>
      <c r="AE177" s="65">
        <v>9475</v>
      </c>
      <c r="AF177" s="65">
        <v>8720</v>
      </c>
      <c r="AG177" s="65">
        <v>8677</v>
      </c>
      <c r="AH177" s="65">
        <v>8078</v>
      </c>
      <c r="AI177" s="65">
        <v>8534</v>
      </c>
      <c r="AJ177" s="65"/>
      <c r="AK177" s="65"/>
      <c r="AL177" s="65"/>
      <c r="AM177" s="65"/>
      <c r="AN177" s="65"/>
      <c r="AO177" s="445"/>
      <c r="AP177" s="445"/>
      <c r="AQ177" s="445"/>
      <c r="AR177" s="445"/>
      <c r="AS177" s="445"/>
      <c r="AT177" s="445"/>
      <c r="AU177" s="445"/>
      <c r="AV177" s="445"/>
      <c r="AW177" s="445"/>
      <c r="AX177" s="459"/>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7" t="s">
        <v>1133</v>
      </c>
      <c r="AD178" s="479">
        <v>2585880</v>
      </c>
      <c r="AE178" s="479">
        <v>2710358</v>
      </c>
      <c r="AF178" s="479">
        <v>2664279</v>
      </c>
      <c r="AG178" s="479">
        <v>2704371</v>
      </c>
      <c r="AH178" s="479">
        <v>2336500</v>
      </c>
      <c r="AI178" s="479">
        <v>2653321</v>
      </c>
      <c r="AJ178" s="65"/>
      <c r="AK178" s="65"/>
      <c r="AL178" s="65"/>
      <c r="AM178" s="65"/>
      <c r="AN178" s="65"/>
      <c r="AO178" s="445"/>
      <c r="AP178" s="445"/>
      <c r="AQ178" s="445"/>
      <c r="AR178" s="445"/>
      <c r="AS178" s="445"/>
      <c r="AT178" s="445"/>
      <c r="AU178" s="445"/>
      <c r="AV178" s="445"/>
      <c r="AW178" s="445"/>
      <c r="AX178" s="459"/>
    </row>
    <row r="179" spans="2:50" x14ac:dyDescent="0.25">
      <c r="B179" s="168" t="s">
        <v>296</v>
      </c>
      <c r="AC179" s="529" t="s">
        <v>1140</v>
      </c>
      <c r="AD179" s="65">
        <v>2576860</v>
      </c>
      <c r="AE179" s="65">
        <v>2700766</v>
      </c>
      <c r="AF179" s="65">
        <v>2654407</v>
      </c>
      <c r="AG179" s="65">
        <v>2694673</v>
      </c>
      <c r="AH179" s="65">
        <v>2327548</v>
      </c>
      <c r="AI179" s="65">
        <v>2642602</v>
      </c>
      <c r="AJ179" s="65"/>
      <c r="AK179" s="65"/>
      <c r="AL179" s="65"/>
      <c r="AM179" s="65"/>
      <c r="AN179" s="65"/>
      <c r="AO179" s="445"/>
      <c r="AP179" s="445"/>
      <c r="AQ179" s="445"/>
      <c r="AR179" s="445"/>
      <c r="AS179" s="445"/>
      <c r="AT179" s="445"/>
      <c r="AU179" s="445"/>
      <c r="AV179" s="445"/>
      <c r="AW179" s="445"/>
      <c r="AX179" s="459"/>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9" t="s">
        <v>1141</v>
      </c>
      <c r="AD180" s="65">
        <v>9020</v>
      </c>
      <c r="AE180" s="65">
        <v>9592</v>
      </c>
      <c r="AF180" s="65">
        <v>9872</v>
      </c>
      <c r="AG180" s="65">
        <v>9698</v>
      </c>
      <c r="AH180" s="65">
        <v>8952</v>
      </c>
      <c r="AI180" s="65">
        <v>10719</v>
      </c>
      <c r="AJ180" s="65"/>
      <c r="AK180" s="65"/>
      <c r="AL180" s="65"/>
      <c r="AM180" s="65"/>
      <c r="AN180" s="65"/>
      <c r="AO180" s="445"/>
      <c r="AP180" s="445"/>
      <c r="AQ180" s="445"/>
      <c r="AR180" s="445"/>
      <c r="AS180" s="445"/>
      <c r="AT180" s="445"/>
      <c r="AU180" s="445"/>
      <c r="AV180" s="445"/>
      <c r="AW180" s="445"/>
      <c r="AX180" s="459"/>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7" t="s">
        <v>1134</v>
      </c>
      <c r="AD181" s="479">
        <v>3451778</v>
      </c>
      <c r="AE181" s="479">
        <v>4027138</v>
      </c>
      <c r="AF181" s="479">
        <v>4114449</v>
      </c>
      <c r="AG181" s="479">
        <v>4494296</v>
      </c>
      <c r="AH181" s="479">
        <v>4403819</v>
      </c>
      <c r="AI181" s="479">
        <v>5230796</v>
      </c>
      <c r="AJ181" s="65"/>
      <c r="AK181" s="65"/>
      <c r="AL181" s="65"/>
      <c r="AM181" s="65"/>
      <c r="AN181" s="65"/>
      <c r="AO181" s="445"/>
      <c r="AP181" s="445"/>
      <c r="AQ181" s="445"/>
      <c r="AR181" s="445"/>
      <c r="AS181" s="445"/>
      <c r="AT181" s="445"/>
      <c r="AU181" s="445"/>
      <c r="AV181" s="445"/>
      <c r="AW181" s="445"/>
      <c r="AX181" s="459"/>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9" t="s">
        <v>1140</v>
      </c>
      <c r="AD182" s="65">
        <v>3448614</v>
      </c>
      <c r="AE182" s="65">
        <v>4023483</v>
      </c>
      <c r="AF182" s="65">
        <v>4110759</v>
      </c>
      <c r="AG182" s="65">
        <v>4490841</v>
      </c>
      <c r="AH182" s="65">
        <v>4400471</v>
      </c>
      <c r="AI182" s="65">
        <v>5226532</v>
      </c>
      <c r="AJ182" s="65"/>
      <c r="AK182" s="65"/>
      <c r="AL182" s="65"/>
      <c r="AM182" s="65"/>
      <c r="AN182" s="65"/>
      <c r="AO182" s="445"/>
      <c r="AP182" s="445"/>
      <c r="AQ182" s="445"/>
      <c r="AR182" s="445"/>
      <c r="AS182" s="445"/>
      <c r="AT182" s="445"/>
      <c r="AU182" s="445"/>
      <c r="AV182" s="445"/>
      <c r="AW182" s="445"/>
      <c r="AX182" s="459"/>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9" t="s">
        <v>1141</v>
      </c>
      <c r="AD183" s="65">
        <v>3164</v>
      </c>
      <c r="AE183" s="65">
        <v>3655</v>
      </c>
      <c r="AF183" s="65">
        <v>3690</v>
      </c>
      <c r="AG183" s="65">
        <v>3455</v>
      </c>
      <c r="AH183" s="65">
        <v>3348</v>
      </c>
      <c r="AI183" s="65">
        <v>4264</v>
      </c>
      <c r="AJ183" s="65"/>
      <c r="AK183" s="65"/>
      <c r="AL183" s="65"/>
      <c r="AM183" s="65"/>
      <c r="AN183" s="65"/>
      <c r="AO183" s="445"/>
      <c r="AP183" s="445"/>
      <c r="AQ183" s="445"/>
      <c r="AR183" s="445"/>
      <c r="AS183" s="445"/>
      <c r="AT183" s="445"/>
      <c r="AU183" s="445"/>
      <c r="AV183" s="445"/>
      <c r="AW183" s="445"/>
      <c r="AX183" s="459"/>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7" t="s">
        <v>1135</v>
      </c>
      <c r="AD184" s="479">
        <v>1429360</v>
      </c>
      <c r="AE184" s="479">
        <v>1626807</v>
      </c>
      <c r="AF184" s="479">
        <v>1623376</v>
      </c>
      <c r="AG184" s="479">
        <v>1618320</v>
      </c>
      <c r="AH184" s="479">
        <v>1704998</v>
      </c>
      <c r="AI184" s="479">
        <v>1777278</v>
      </c>
      <c r="AJ184" s="65"/>
      <c r="AK184" s="65"/>
      <c r="AL184" s="65"/>
      <c r="AM184" s="65"/>
      <c r="AN184" s="65"/>
      <c r="AO184" s="445"/>
      <c r="AP184" s="445"/>
      <c r="AQ184" s="445"/>
      <c r="AR184" s="445"/>
      <c r="AS184" s="445"/>
      <c r="AT184" s="445"/>
      <c r="AU184" s="445"/>
      <c r="AV184" s="445"/>
      <c r="AW184" s="445"/>
      <c r="AX184" s="459"/>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9" t="s">
        <v>1140</v>
      </c>
      <c r="AD185" s="65">
        <v>1414686</v>
      </c>
      <c r="AE185" s="65">
        <v>1611881</v>
      </c>
      <c r="AF185" s="65">
        <v>1606286</v>
      </c>
      <c r="AG185" s="65">
        <v>1599155</v>
      </c>
      <c r="AH185" s="65">
        <v>1685745</v>
      </c>
      <c r="AI185" s="65">
        <v>1760821</v>
      </c>
      <c r="AJ185" s="65"/>
      <c r="AK185" s="65"/>
      <c r="AL185" s="65"/>
      <c r="AM185" s="65"/>
      <c r="AN185" s="65"/>
      <c r="AO185" s="445"/>
      <c r="AP185" s="445"/>
      <c r="AQ185" s="445"/>
      <c r="AR185" s="445"/>
      <c r="AS185" s="445"/>
      <c r="AT185" s="445"/>
      <c r="AU185" s="445"/>
      <c r="AV185" s="445"/>
      <c r="AW185" s="445"/>
      <c r="AX185" s="459"/>
    </row>
    <row r="186" spans="2:50" x14ac:dyDescent="0.25">
      <c r="B186" s="178" t="s">
        <v>1983</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9" t="s">
        <v>1141</v>
      </c>
      <c r="AD186" s="65">
        <v>14674</v>
      </c>
      <c r="AE186" s="65">
        <v>14926</v>
      </c>
      <c r="AF186" s="65">
        <v>17090</v>
      </c>
      <c r="AG186" s="65">
        <v>19165</v>
      </c>
      <c r="AH186" s="65">
        <v>19253</v>
      </c>
      <c r="AI186" s="65">
        <v>16457</v>
      </c>
      <c r="AJ186" s="65"/>
      <c r="AK186" s="65"/>
      <c r="AL186" s="65"/>
      <c r="AM186" s="65"/>
      <c r="AN186" s="65"/>
      <c r="AO186" s="445"/>
      <c r="AP186" s="445"/>
      <c r="AQ186" s="445"/>
      <c r="AR186" s="445"/>
      <c r="AS186" s="445"/>
      <c r="AT186" s="445"/>
      <c r="AU186" s="445"/>
      <c r="AV186" s="445"/>
      <c r="AW186" s="445"/>
      <c r="AX186" s="459"/>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7" t="s">
        <v>1136</v>
      </c>
      <c r="AD187" s="479">
        <v>908961</v>
      </c>
      <c r="AE187" s="479">
        <v>909867</v>
      </c>
      <c r="AF187" s="479">
        <v>888588</v>
      </c>
      <c r="AG187" s="479">
        <v>916959</v>
      </c>
      <c r="AH187" s="479">
        <v>783362</v>
      </c>
      <c r="AI187" s="479">
        <v>770785</v>
      </c>
      <c r="AJ187" s="65"/>
      <c r="AK187" s="65"/>
      <c r="AL187" s="65"/>
      <c r="AM187" s="65"/>
      <c r="AN187" s="65"/>
      <c r="AO187" s="445"/>
      <c r="AP187" s="445"/>
      <c r="AQ187" s="445"/>
      <c r="AR187" s="445"/>
      <c r="AS187" s="445"/>
      <c r="AT187" s="445"/>
      <c r="AU187" s="445"/>
      <c r="AV187" s="445"/>
      <c r="AW187" s="445"/>
      <c r="AX187" s="459"/>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9" t="s">
        <v>1140</v>
      </c>
      <c r="AD188" s="65">
        <v>904884</v>
      </c>
      <c r="AE188" s="65">
        <v>906188</v>
      </c>
      <c r="AF188" s="65">
        <v>884262</v>
      </c>
      <c r="AG188" s="65">
        <v>912309</v>
      </c>
      <c r="AH188" s="65">
        <v>778725</v>
      </c>
      <c r="AI188" s="65">
        <v>766690</v>
      </c>
      <c r="AJ188" s="65"/>
      <c r="AK188" s="65"/>
      <c r="AL188" s="65"/>
      <c r="AM188" s="65"/>
      <c r="AN188" s="65"/>
      <c r="AO188" s="445"/>
      <c r="AP188" s="445"/>
      <c r="AQ188" s="445"/>
      <c r="AR188" s="445"/>
      <c r="AS188" s="445"/>
      <c r="AT188" s="445"/>
      <c r="AU188" s="445"/>
      <c r="AV188" s="445"/>
      <c r="AW188" s="445"/>
      <c r="AX188" s="459"/>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9" t="s">
        <v>1141</v>
      </c>
      <c r="AD189" s="65">
        <v>4077</v>
      </c>
      <c r="AE189" s="65">
        <v>3679</v>
      </c>
      <c r="AF189" s="65">
        <v>4326</v>
      </c>
      <c r="AG189" s="65">
        <v>4650</v>
      </c>
      <c r="AH189" s="65">
        <v>4637</v>
      </c>
      <c r="AI189" s="65">
        <v>4095</v>
      </c>
      <c r="AJ189" s="65"/>
      <c r="AK189" s="65"/>
      <c r="AL189" s="65"/>
      <c r="AM189" s="65"/>
      <c r="AN189" s="65"/>
      <c r="AO189" s="445"/>
      <c r="AP189" s="445"/>
      <c r="AQ189" s="445"/>
      <c r="AR189" s="445"/>
      <c r="AS189" s="445"/>
      <c r="AT189" s="445"/>
      <c r="AU189" s="445"/>
      <c r="AV189" s="445"/>
      <c r="AW189" s="445"/>
      <c r="AX189" s="459"/>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7" t="s">
        <v>1137</v>
      </c>
      <c r="AD190" s="479">
        <v>1399025</v>
      </c>
      <c r="AE190" s="479">
        <v>1700694</v>
      </c>
      <c r="AF190" s="479">
        <v>1988011</v>
      </c>
      <c r="AG190" s="479">
        <v>2368945</v>
      </c>
      <c r="AH190" s="479">
        <v>1015296</v>
      </c>
      <c r="AI190" s="479">
        <v>1670677</v>
      </c>
      <c r="AJ190" s="65"/>
      <c r="AK190" s="65"/>
      <c r="AL190" s="65"/>
      <c r="AM190" s="65"/>
      <c r="AN190" s="65"/>
      <c r="AO190" s="445"/>
      <c r="AP190" s="445"/>
      <c r="AQ190" s="445"/>
      <c r="AR190" s="445"/>
      <c r="AS190" s="445"/>
      <c r="AT190" s="445"/>
      <c r="AU190" s="445"/>
      <c r="AV190" s="445"/>
      <c r="AW190" s="445"/>
      <c r="AX190" s="459"/>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9" t="s">
        <v>1140</v>
      </c>
      <c r="AD191" s="65">
        <v>1387906</v>
      </c>
      <c r="AE191" s="65">
        <v>1685201</v>
      </c>
      <c r="AF191" s="65">
        <v>1971444</v>
      </c>
      <c r="AG191" s="65">
        <v>2353241</v>
      </c>
      <c r="AH191" s="65">
        <v>1004924</v>
      </c>
      <c r="AI191" s="65">
        <v>1658413</v>
      </c>
      <c r="AJ191" s="65"/>
      <c r="AK191" s="65"/>
      <c r="AL191" s="65"/>
      <c r="AM191" s="65"/>
      <c r="AN191" s="65"/>
      <c r="AO191" s="445"/>
      <c r="AP191" s="445"/>
      <c r="AQ191" s="445"/>
      <c r="AR191" s="445"/>
      <c r="AS191" s="445"/>
      <c r="AT191" s="445"/>
      <c r="AU191" s="445"/>
      <c r="AV191" s="445"/>
      <c r="AW191" s="445"/>
      <c r="AX191" s="459"/>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9" t="s">
        <v>1141</v>
      </c>
      <c r="AD192" s="65">
        <v>11119</v>
      </c>
      <c r="AE192" s="65">
        <v>15493</v>
      </c>
      <c r="AF192" s="65">
        <v>16567</v>
      </c>
      <c r="AG192" s="65">
        <v>15704</v>
      </c>
      <c r="AH192" s="65">
        <v>10372</v>
      </c>
      <c r="AI192" s="65">
        <v>12264</v>
      </c>
      <c r="AJ192" s="65"/>
      <c r="AK192" s="65"/>
      <c r="AL192" s="65"/>
      <c r="AM192" s="65"/>
      <c r="AN192" s="65"/>
      <c r="AO192" s="445"/>
      <c r="AP192" s="445"/>
      <c r="AQ192" s="445"/>
      <c r="AR192" s="445"/>
      <c r="AS192" s="445"/>
      <c r="AT192" s="445"/>
      <c r="AU192" s="445"/>
      <c r="AV192" s="445"/>
      <c r="AW192" s="445"/>
      <c r="AX192" s="459"/>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7" t="s">
        <v>1138</v>
      </c>
      <c r="AD193" s="479">
        <v>1960132</v>
      </c>
      <c r="AE193" s="479">
        <v>2532383</v>
      </c>
      <c r="AF193" s="479">
        <v>2640192</v>
      </c>
      <c r="AG193" s="479">
        <v>3365489</v>
      </c>
      <c r="AH193" s="479">
        <v>1814470</v>
      </c>
      <c r="AI193" s="479">
        <v>2920345</v>
      </c>
      <c r="AJ193" s="65"/>
      <c r="AK193" s="65"/>
      <c r="AL193" s="65"/>
      <c r="AM193" s="65"/>
      <c r="AN193" s="65"/>
      <c r="AO193" s="445"/>
      <c r="AP193" s="445"/>
      <c r="AQ193" s="445"/>
      <c r="AR193" s="445"/>
      <c r="AS193" s="445"/>
      <c r="AT193" s="445"/>
      <c r="AU193" s="445"/>
      <c r="AV193" s="445"/>
      <c r="AW193" s="445"/>
      <c r="AX193" s="459"/>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9" t="s">
        <v>1140</v>
      </c>
      <c r="AD194" s="65">
        <v>1953170</v>
      </c>
      <c r="AE194" s="65">
        <v>2524667</v>
      </c>
      <c r="AF194" s="65">
        <v>2631781</v>
      </c>
      <c r="AG194" s="65">
        <v>3355349</v>
      </c>
      <c r="AH194" s="65">
        <v>1805201</v>
      </c>
      <c r="AI194" s="65">
        <v>2907669</v>
      </c>
      <c r="AJ194" s="65"/>
      <c r="AK194" s="65"/>
      <c r="AL194" s="65"/>
      <c r="AM194" s="65"/>
      <c r="AN194" s="65"/>
      <c r="AO194" s="445"/>
      <c r="AP194" s="445"/>
      <c r="AQ194" s="445"/>
      <c r="AR194" s="445"/>
      <c r="AS194" s="445"/>
      <c r="AT194" s="445"/>
      <c r="AU194" s="445"/>
      <c r="AV194" s="445"/>
      <c r="AW194" s="445"/>
      <c r="AX194" s="459"/>
    </row>
    <row r="195" spans="2:50" x14ac:dyDescent="0.25">
      <c r="AC195" s="529" t="s">
        <v>1141</v>
      </c>
      <c r="AD195" s="65">
        <v>6962</v>
      </c>
      <c r="AE195" s="65">
        <v>7716</v>
      </c>
      <c r="AF195" s="65">
        <v>8411</v>
      </c>
      <c r="AG195" s="65">
        <v>10140</v>
      </c>
      <c r="AH195" s="65">
        <v>9269</v>
      </c>
      <c r="AI195" s="65">
        <v>12676</v>
      </c>
      <c r="AJ195" s="65"/>
      <c r="AK195" s="65"/>
      <c r="AL195" s="65"/>
      <c r="AM195" s="65"/>
      <c r="AN195" s="65"/>
      <c r="AO195" s="445"/>
      <c r="AP195" s="445"/>
      <c r="AQ195" s="445"/>
      <c r="AR195" s="445"/>
      <c r="AS195" s="445"/>
      <c r="AT195" s="445"/>
      <c r="AU195" s="445"/>
      <c r="AV195" s="445"/>
      <c r="AW195" s="445"/>
      <c r="AX195" s="459"/>
    </row>
    <row r="196" spans="2:50" ht="15.75" x14ac:dyDescent="0.25">
      <c r="B196" s="938" t="s">
        <v>77</v>
      </c>
      <c r="C196" s="938"/>
      <c r="D196" s="938"/>
      <c r="E196" s="938"/>
      <c r="F196" s="938"/>
      <c r="G196" s="938"/>
      <c r="H196" s="938"/>
      <c r="I196" s="938"/>
      <c r="J196" s="938"/>
      <c r="K196" s="938"/>
      <c r="L196" s="938"/>
      <c r="M196" s="938"/>
      <c r="N196" s="938"/>
      <c r="O196" s="938"/>
      <c r="P196" s="938"/>
      <c r="Q196" s="938"/>
      <c r="R196" s="938"/>
      <c r="S196" s="938"/>
      <c r="T196" s="938"/>
      <c r="U196" s="938"/>
      <c r="V196" s="938"/>
      <c r="W196" s="938"/>
      <c r="AC196" s="507" t="s">
        <v>399</v>
      </c>
      <c r="AD196" s="479">
        <v>2369117</v>
      </c>
      <c r="AE196" s="479">
        <v>2663691</v>
      </c>
      <c r="AF196" s="479">
        <v>2897587</v>
      </c>
      <c r="AG196" s="479">
        <v>2921350</v>
      </c>
      <c r="AH196" s="479">
        <v>2477807</v>
      </c>
      <c r="AI196" s="479">
        <v>2693683</v>
      </c>
      <c r="AJ196" s="65"/>
      <c r="AK196" s="65"/>
      <c r="AL196" s="65"/>
      <c r="AM196" s="65"/>
      <c r="AN196" s="65"/>
      <c r="AO196" s="445"/>
      <c r="AP196" s="445"/>
      <c r="AQ196" s="445"/>
      <c r="AR196" s="445"/>
      <c r="AS196" s="445"/>
      <c r="AT196" s="445"/>
      <c r="AU196" s="445"/>
      <c r="AV196" s="445"/>
      <c r="AW196" s="445"/>
      <c r="AX196" s="459"/>
    </row>
    <row r="197" spans="2:50" ht="15.75" thickBot="1" x14ac:dyDescent="0.3">
      <c r="B197" s="893"/>
      <c r="C197" s="889">
        <v>2000</v>
      </c>
      <c r="D197" s="889">
        <v>2001</v>
      </c>
      <c r="E197" s="889">
        <v>2002</v>
      </c>
      <c r="F197" s="889">
        <v>2003</v>
      </c>
      <c r="G197" s="889">
        <v>2004</v>
      </c>
      <c r="H197" s="889">
        <v>2005</v>
      </c>
      <c r="I197" s="889">
        <v>2006</v>
      </c>
      <c r="J197" s="889">
        <v>2007</v>
      </c>
      <c r="K197" s="889">
        <v>2008</v>
      </c>
      <c r="L197" s="889">
        <v>2009</v>
      </c>
      <c r="M197" s="889">
        <v>2010</v>
      </c>
      <c r="N197" s="889">
        <v>2011</v>
      </c>
      <c r="O197" s="889">
        <v>2012</v>
      </c>
      <c r="P197" s="889">
        <v>2013</v>
      </c>
      <c r="Q197" s="889">
        <v>2014</v>
      </c>
      <c r="R197" s="889">
        <v>2015</v>
      </c>
      <c r="S197" s="889">
        <v>2016</v>
      </c>
      <c r="T197" s="889">
        <v>2017</v>
      </c>
      <c r="U197" s="889">
        <v>2018</v>
      </c>
      <c r="V197" s="889">
        <v>2019</v>
      </c>
      <c r="W197" s="889">
        <v>2020</v>
      </c>
      <c r="AC197" s="529" t="s">
        <v>1140</v>
      </c>
      <c r="AD197" s="65">
        <v>2364039</v>
      </c>
      <c r="AE197" s="65">
        <v>2658452</v>
      </c>
      <c r="AF197" s="65">
        <v>2891915</v>
      </c>
      <c r="AG197" s="65">
        <v>2915909</v>
      </c>
      <c r="AH197" s="65">
        <v>2473256</v>
      </c>
      <c r="AI197" s="65">
        <v>2689249</v>
      </c>
      <c r="AJ197" s="65"/>
      <c r="AK197" s="65"/>
      <c r="AL197" s="65"/>
      <c r="AM197" s="65"/>
      <c r="AN197" s="65"/>
      <c r="AO197" s="445"/>
      <c r="AP197" s="445"/>
      <c r="AQ197" s="445"/>
      <c r="AR197" s="445"/>
      <c r="AS197" s="445"/>
      <c r="AT197" s="445"/>
      <c r="AU197" s="445"/>
      <c r="AV197" s="445"/>
      <c r="AW197" s="445"/>
      <c r="AX197" s="459"/>
    </row>
    <row r="198" spans="2:50" ht="15.75" thickTop="1" x14ac:dyDescent="0.25">
      <c r="B198" s="894" t="s">
        <v>76</v>
      </c>
      <c r="C198" s="880">
        <v>8392</v>
      </c>
      <c r="D198" s="880">
        <v>8511</v>
      </c>
      <c r="E198" s="880">
        <v>8609</v>
      </c>
      <c r="F198" s="880">
        <v>8727</v>
      </c>
      <c r="G198" s="880">
        <v>8820</v>
      </c>
      <c r="H198" s="880">
        <v>9039</v>
      </c>
      <c r="I198" s="880">
        <v>9249</v>
      </c>
      <c r="J198" s="880">
        <v>9370</v>
      </c>
      <c r="K198" s="880">
        <v>9578</v>
      </c>
      <c r="L198" s="880">
        <v>9669</v>
      </c>
      <c r="M198" s="880">
        <v>9860</v>
      </c>
      <c r="N198" s="880">
        <v>10007</v>
      </c>
      <c r="O198" s="880">
        <v>10076</v>
      </c>
      <c r="P198" s="880">
        <v>10078</v>
      </c>
      <c r="Q198" s="880">
        <v>10092</v>
      </c>
      <c r="R198" s="880">
        <v>10129</v>
      </c>
      <c r="S198" s="880">
        <v>10141</v>
      </c>
      <c r="T198" s="880">
        <v>10204</v>
      </c>
      <c r="U198" s="880">
        <v>10213</v>
      </c>
      <c r="V198" s="880">
        <v>10266</v>
      </c>
      <c r="W198" s="880">
        <v>10260</v>
      </c>
      <c r="AC198" s="529" t="s">
        <v>1141</v>
      </c>
      <c r="AD198" s="65">
        <v>5078</v>
      </c>
      <c r="AE198" s="65">
        <v>5239</v>
      </c>
      <c r="AF198" s="65">
        <v>5672</v>
      </c>
      <c r="AG198" s="65">
        <v>5441</v>
      </c>
      <c r="AH198" s="65">
        <v>4551</v>
      </c>
      <c r="AI198" s="65">
        <v>4434</v>
      </c>
      <c r="AJ198" s="65"/>
      <c r="AK198" s="65"/>
      <c r="AL198" s="65"/>
      <c r="AM198" s="65"/>
      <c r="AN198" s="65"/>
      <c r="AO198" s="445"/>
      <c r="AP198" s="445"/>
      <c r="AQ198" s="445"/>
      <c r="AR198" s="445"/>
      <c r="AS198" s="445"/>
      <c r="AT198" s="445"/>
      <c r="AU198" s="445"/>
      <c r="AV198" s="445"/>
      <c r="AW198" s="445"/>
      <c r="AX198" s="459"/>
    </row>
    <row r="199" spans="2:50" x14ac:dyDescent="0.25">
      <c r="B199" s="179" t="s">
        <v>70</v>
      </c>
      <c r="C199" s="878">
        <v>7707</v>
      </c>
      <c r="D199" s="878">
        <v>7804</v>
      </c>
      <c r="E199" s="878">
        <v>7890</v>
      </c>
      <c r="F199" s="878">
        <v>7978</v>
      </c>
      <c r="G199" s="878">
        <v>8063</v>
      </c>
      <c r="H199" s="878">
        <v>8269</v>
      </c>
      <c r="I199" s="878">
        <v>8453</v>
      </c>
      <c r="J199" s="878">
        <v>8557</v>
      </c>
      <c r="K199" s="878">
        <v>8745</v>
      </c>
      <c r="L199" s="878">
        <v>8835</v>
      </c>
      <c r="M199" s="878">
        <v>8997</v>
      </c>
      <c r="N199" s="878">
        <v>9126</v>
      </c>
      <c r="O199" s="878">
        <v>9178</v>
      </c>
      <c r="P199" s="878">
        <v>9174</v>
      </c>
      <c r="Q199" s="878">
        <v>9188</v>
      </c>
      <c r="R199" s="878">
        <v>9212</v>
      </c>
      <c r="S199" s="878">
        <v>9223</v>
      </c>
      <c r="T199" s="878">
        <v>9276</v>
      </c>
      <c r="U199" s="878">
        <v>9299</v>
      </c>
      <c r="V199" s="878">
        <v>9348</v>
      </c>
      <c r="W199" s="878">
        <v>9331</v>
      </c>
      <c r="AC199" s="507" t="s">
        <v>1139</v>
      </c>
      <c r="AD199" s="479">
        <v>3194842</v>
      </c>
      <c r="AE199" s="479">
        <v>3129748</v>
      </c>
      <c r="AF199" s="479">
        <v>3423166</v>
      </c>
      <c r="AG199" s="479">
        <v>3577069</v>
      </c>
      <c r="AH199" s="479">
        <v>3342314</v>
      </c>
      <c r="AI199" s="479">
        <v>3581929</v>
      </c>
      <c r="AJ199" s="65"/>
      <c r="AK199" s="65"/>
      <c r="AL199" s="65"/>
      <c r="AM199" s="65"/>
      <c r="AN199" s="65"/>
      <c r="AO199" s="445"/>
      <c r="AP199" s="445"/>
      <c r="AQ199" s="445"/>
      <c r="AR199" s="445"/>
      <c r="AS199" s="445"/>
      <c r="AT199" s="445"/>
      <c r="AU199" s="445"/>
      <c r="AV199" s="445"/>
      <c r="AW199" s="445"/>
      <c r="AX199" s="459"/>
    </row>
    <row r="200" spans="2:50" x14ac:dyDescent="0.25">
      <c r="B200" s="179" t="s">
        <v>71</v>
      </c>
      <c r="C200" s="878">
        <v>201</v>
      </c>
      <c r="D200" s="878">
        <v>205</v>
      </c>
      <c r="E200" s="878">
        <v>215</v>
      </c>
      <c r="F200" s="878">
        <v>224</v>
      </c>
      <c r="G200" s="878">
        <v>229</v>
      </c>
      <c r="H200" s="878">
        <v>246</v>
      </c>
      <c r="I200" s="878">
        <v>263</v>
      </c>
      <c r="J200" s="878">
        <v>288</v>
      </c>
      <c r="K200" s="878">
        <v>307</v>
      </c>
      <c r="L200" s="878">
        <v>312</v>
      </c>
      <c r="M200" s="878">
        <v>343</v>
      </c>
      <c r="N200" s="878">
        <v>354</v>
      </c>
      <c r="O200" s="878">
        <v>372</v>
      </c>
      <c r="P200" s="878">
        <v>367</v>
      </c>
      <c r="Q200" s="878">
        <v>364</v>
      </c>
      <c r="R200" s="878">
        <v>378</v>
      </c>
      <c r="S200" s="878">
        <v>381</v>
      </c>
      <c r="T200" s="878">
        <v>386</v>
      </c>
      <c r="U200" s="878">
        <v>381</v>
      </c>
      <c r="V200" s="878">
        <v>386</v>
      </c>
      <c r="W200" s="878">
        <v>397</v>
      </c>
      <c r="AC200" s="529" t="s">
        <v>1140</v>
      </c>
      <c r="AD200" s="65">
        <v>3143383</v>
      </c>
      <c r="AE200" s="65">
        <v>3076155</v>
      </c>
      <c r="AF200" s="65">
        <v>3365929</v>
      </c>
      <c r="AG200" s="65">
        <v>3516866</v>
      </c>
      <c r="AH200" s="65">
        <v>3294007</v>
      </c>
      <c r="AI200" s="65">
        <v>3524855</v>
      </c>
      <c r="AJ200" s="65"/>
      <c r="AK200" s="65"/>
      <c r="AL200" s="65"/>
      <c r="AM200" s="65"/>
      <c r="AN200" s="65"/>
      <c r="AO200" s="445"/>
      <c r="AP200" s="445"/>
      <c r="AQ200" s="445"/>
      <c r="AR200" s="445"/>
      <c r="AS200" s="445"/>
      <c r="AT200" s="445"/>
      <c r="AU200" s="445"/>
      <c r="AV200" s="445"/>
      <c r="AW200" s="445"/>
      <c r="AX200" s="459"/>
    </row>
    <row r="201" spans="2:50" x14ac:dyDescent="0.25">
      <c r="B201" s="179" t="s">
        <v>72</v>
      </c>
      <c r="C201" s="878">
        <v>275</v>
      </c>
      <c r="D201" s="878">
        <v>273</v>
      </c>
      <c r="E201" s="878">
        <v>274</v>
      </c>
      <c r="F201" s="878">
        <v>294</v>
      </c>
      <c r="G201" s="878">
        <v>297</v>
      </c>
      <c r="H201" s="878">
        <v>293</v>
      </c>
      <c r="I201" s="878">
        <v>298</v>
      </c>
      <c r="J201" s="878">
        <v>289</v>
      </c>
      <c r="K201" s="878">
        <v>287</v>
      </c>
      <c r="L201" s="878">
        <v>282</v>
      </c>
      <c r="M201" s="878">
        <v>277</v>
      </c>
      <c r="N201" s="878">
        <v>282</v>
      </c>
      <c r="O201" s="878">
        <v>284</v>
      </c>
      <c r="P201" s="878">
        <v>285</v>
      </c>
      <c r="Q201" s="878">
        <v>287</v>
      </c>
      <c r="R201" s="878">
        <v>284</v>
      </c>
      <c r="S201" s="878">
        <v>281</v>
      </c>
      <c r="T201" s="878">
        <v>279</v>
      </c>
      <c r="U201" s="878">
        <v>278</v>
      </c>
      <c r="V201" s="878">
        <v>279</v>
      </c>
      <c r="W201" s="878">
        <v>279</v>
      </c>
      <c r="AC201" s="529" t="s">
        <v>1141</v>
      </c>
      <c r="AD201" s="65">
        <v>51459</v>
      </c>
      <c r="AE201" s="65">
        <v>53593</v>
      </c>
      <c r="AF201" s="65">
        <v>57237</v>
      </c>
      <c r="AG201" s="65">
        <v>60203</v>
      </c>
      <c r="AH201" s="65">
        <v>48307</v>
      </c>
      <c r="AI201" s="65">
        <v>57074</v>
      </c>
      <c r="AJ201" s="65"/>
      <c r="AK201" s="65"/>
      <c r="AL201" s="65"/>
      <c r="AM201" s="65"/>
      <c r="AN201" s="65"/>
      <c r="AO201" s="445"/>
      <c r="AP201" s="445"/>
      <c r="AQ201" s="445"/>
      <c r="AR201" s="445"/>
      <c r="AS201" s="445"/>
      <c r="AT201" s="445"/>
      <c r="AU201" s="445"/>
      <c r="AV201" s="445"/>
      <c r="AW201" s="445"/>
      <c r="AX201" s="459"/>
    </row>
    <row r="202" spans="2:50" x14ac:dyDescent="0.25">
      <c r="B202" s="179" t="s">
        <v>73</v>
      </c>
      <c r="C202" s="878">
        <v>37</v>
      </c>
      <c r="D202" s="878">
        <v>36</v>
      </c>
      <c r="E202" s="878">
        <v>35</v>
      </c>
      <c r="F202" s="878">
        <v>38</v>
      </c>
      <c r="G202" s="878">
        <v>36</v>
      </c>
      <c r="H202" s="878">
        <v>37</v>
      </c>
      <c r="I202" s="878">
        <v>38</v>
      </c>
      <c r="J202" s="878">
        <v>37</v>
      </c>
      <c r="K202" s="878">
        <v>36</v>
      </c>
      <c r="L202" s="878">
        <v>37</v>
      </c>
      <c r="M202" s="878">
        <v>37</v>
      </c>
      <c r="N202" s="878">
        <v>37</v>
      </c>
      <c r="O202" s="878">
        <v>36</v>
      </c>
      <c r="P202" s="878">
        <v>36</v>
      </c>
      <c r="Q202" s="878">
        <v>38</v>
      </c>
      <c r="R202" s="878">
        <v>40</v>
      </c>
      <c r="S202" s="878">
        <v>43</v>
      </c>
      <c r="T202" s="878">
        <v>43</v>
      </c>
      <c r="U202" s="878">
        <v>44</v>
      </c>
      <c r="V202" s="878">
        <v>43</v>
      </c>
      <c r="W202" s="878">
        <v>44</v>
      </c>
      <c r="AC202" s="507" t="s">
        <v>248</v>
      </c>
      <c r="AD202" s="479">
        <v>25205377</v>
      </c>
      <c r="AE202" s="479">
        <v>28589990</v>
      </c>
      <c r="AF202" s="479">
        <v>30044878</v>
      </c>
      <c r="AG202" s="479">
        <v>31746654</v>
      </c>
      <c r="AH202" s="479">
        <v>27241328</v>
      </c>
      <c r="AI202" s="479">
        <v>31136666</v>
      </c>
      <c r="AJ202" s="65"/>
      <c r="AK202" s="65"/>
      <c r="AL202" s="65"/>
      <c r="AM202" s="65"/>
      <c r="AN202" s="65"/>
      <c r="AO202" s="445"/>
      <c r="AP202" s="445"/>
      <c r="AQ202" s="445"/>
      <c r="AR202" s="445"/>
      <c r="AS202" s="445"/>
      <c r="AT202" s="445"/>
      <c r="AU202" s="445"/>
      <c r="AV202" s="445"/>
      <c r="AW202" s="445"/>
      <c r="AX202" s="459"/>
    </row>
    <row r="203" spans="2:50" x14ac:dyDescent="0.25">
      <c r="B203" s="179" t="s">
        <v>74</v>
      </c>
      <c r="C203" s="878">
        <v>169</v>
      </c>
      <c r="D203" s="878">
        <v>189</v>
      </c>
      <c r="E203" s="878">
        <v>191</v>
      </c>
      <c r="F203" s="878">
        <v>189</v>
      </c>
      <c r="G203" s="878">
        <v>190</v>
      </c>
      <c r="H203" s="878">
        <v>189</v>
      </c>
      <c r="I203" s="878">
        <v>192</v>
      </c>
      <c r="J203" s="878">
        <v>193</v>
      </c>
      <c r="K203" s="878">
        <v>197</v>
      </c>
      <c r="L203" s="878">
        <v>197</v>
      </c>
      <c r="M203" s="878">
        <v>200</v>
      </c>
      <c r="N203" s="878">
        <v>202</v>
      </c>
      <c r="O203" s="878">
        <v>200</v>
      </c>
      <c r="P203" s="878">
        <v>210</v>
      </c>
      <c r="Q203" s="878">
        <v>213</v>
      </c>
      <c r="R203" s="878">
        <v>214</v>
      </c>
      <c r="S203" s="878">
        <v>212</v>
      </c>
      <c r="T203" s="878">
        <v>219</v>
      </c>
      <c r="U203" s="878">
        <v>210</v>
      </c>
      <c r="V203" s="878">
        <v>209</v>
      </c>
      <c r="W203" s="878">
        <v>208</v>
      </c>
      <c r="AC203" s="529" t="s">
        <v>1140</v>
      </c>
      <c r="AD203" s="65">
        <v>25086459</v>
      </c>
      <c r="AE203" s="65">
        <v>28460675</v>
      </c>
      <c r="AF203" s="65">
        <v>29907346</v>
      </c>
      <c r="AG203" s="65">
        <v>31603577</v>
      </c>
      <c r="AH203" s="65">
        <v>27117336</v>
      </c>
      <c r="AI203" s="65">
        <v>30999983</v>
      </c>
      <c r="AJ203" s="65"/>
      <c r="AK203" s="65"/>
      <c r="AL203" s="65"/>
      <c r="AM203" s="65"/>
      <c r="AN203" s="65"/>
      <c r="AO203" s="445"/>
      <c r="AP203" s="445"/>
      <c r="AQ203" s="445"/>
      <c r="AR203" s="445"/>
      <c r="AS203" s="445"/>
      <c r="AT203" s="445"/>
      <c r="AU203" s="445"/>
      <c r="AV203" s="445"/>
      <c r="AW203" s="445"/>
      <c r="AX203" s="459"/>
    </row>
    <row r="204" spans="2:50" x14ac:dyDescent="0.25">
      <c r="B204" s="179" t="s">
        <v>75</v>
      </c>
      <c r="C204" s="878">
        <v>3</v>
      </c>
      <c r="D204" s="878">
        <v>4</v>
      </c>
      <c r="E204" s="878">
        <v>4</v>
      </c>
      <c r="F204" s="878">
        <v>4</v>
      </c>
      <c r="G204" s="878">
        <v>5</v>
      </c>
      <c r="H204" s="878">
        <v>5</v>
      </c>
      <c r="I204" s="878">
        <v>5</v>
      </c>
      <c r="J204" s="878">
        <v>6</v>
      </c>
      <c r="K204" s="878">
        <v>6</v>
      </c>
      <c r="L204" s="878">
        <v>6</v>
      </c>
      <c r="M204" s="878">
        <v>6</v>
      </c>
      <c r="N204" s="878">
        <v>6</v>
      </c>
      <c r="O204" s="878">
        <v>6</v>
      </c>
      <c r="P204" s="878">
        <v>6</v>
      </c>
      <c r="Q204" s="878">
        <v>2</v>
      </c>
      <c r="R204" s="878">
        <v>1</v>
      </c>
      <c r="S204" s="878">
        <v>1</v>
      </c>
      <c r="T204" s="878">
        <v>1</v>
      </c>
      <c r="U204" s="878">
        <v>1</v>
      </c>
      <c r="V204" s="878">
        <v>1</v>
      </c>
      <c r="W204" s="878">
        <v>1</v>
      </c>
      <c r="AC204" s="529" t="s">
        <v>1141</v>
      </c>
      <c r="AD204" s="65">
        <v>118918</v>
      </c>
      <c r="AE204" s="65">
        <v>129315</v>
      </c>
      <c r="AF204" s="65">
        <v>137532</v>
      </c>
      <c r="AG204" s="65">
        <v>143077</v>
      </c>
      <c r="AH204" s="65">
        <v>123992</v>
      </c>
      <c r="AI204" s="65">
        <v>136683</v>
      </c>
      <c r="AJ204" s="65"/>
      <c r="AK204" s="65"/>
      <c r="AL204" s="65"/>
      <c r="AM204" s="65"/>
      <c r="AN204" s="65"/>
      <c r="AO204" s="445"/>
      <c r="AP204" s="445"/>
      <c r="AQ204" s="445"/>
      <c r="AR204" s="445"/>
      <c r="AS204" s="445"/>
      <c r="AT204" s="445"/>
      <c r="AU204" s="445"/>
      <c r="AV204" s="445"/>
      <c r="AW204" s="445"/>
      <c r="AX204" s="459"/>
    </row>
    <row r="205" spans="2:50" x14ac:dyDescent="0.25">
      <c r="B205" s="834"/>
      <c r="C205" s="878"/>
      <c r="D205" s="878"/>
      <c r="E205" s="878"/>
      <c r="F205" s="878"/>
      <c r="G205" s="878"/>
      <c r="H205" s="226"/>
      <c r="I205" s="878"/>
      <c r="J205" s="878"/>
      <c r="K205" s="878"/>
      <c r="L205" s="878"/>
      <c r="M205" s="878"/>
      <c r="N205" s="878"/>
      <c r="O205" s="878"/>
      <c r="P205" s="878"/>
      <c r="Q205" s="878"/>
      <c r="R205" s="878"/>
      <c r="S205" s="878"/>
      <c r="T205" s="878"/>
      <c r="U205" s="878"/>
      <c r="V205" s="878"/>
      <c r="W205" s="878"/>
      <c r="AC205" s="497" t="s">
        <v>1143</v>
      </c>
      <c r="AD205" s="65"/>
      <c r="AE205" s="65"/>
      <c r="AF205" s="65"/>
      <c r="AG205" s="65"/>
      <c r="AH205" s="65"/>
      <c r="AI205" s="65"/>
      <c r="AJ205" s="65"/>
      <c r="AK205" s="65"/>
      <c r="AL205" s="65"/>
      <c r="AM205" s="65"/>
      <c r="AN205" s="65"/>
      <c r="AO205" s="445"/>
      <c r="AP205" s="445"/>
      <c r="AQ205" s="445"/>
      <c r="AR205" s="445"/>
      <c r="AS205" s="445"/>
      <c r="AT205" s="445"/>
      <c r="AU205" s="445"/>
      <c r="AV205" s="445"/>
      <c r="AW205" s="445"/>
      <c r="AX205" s="459"/>
    </row>
    <row r="206" spans="2:50" ht="15.75" x14ac:dyDescent="0.25">
      <c r="B206" s="938" t="s">
        <v>693</v>
      </c>
      <c r="C206" s="938"/>
      <c r="D206" s="938"/>
      <c r="E206" s="938"/>
      <c r="F206" s="938"/>
      <c r="G206" s="938"/>
      <c r="H206" s="938"/>
      <c r="I206" s="938"/>
      <c r="J206" s="938"/>
      <c r="K206" s="938"/>
      <c r="L206" s="938"/>
      <c r="M206" s="938"/>
      <c r="N206" s="938"/>
      <c r="O206" s="938"/>
      <c r="P206" s="938"/>
      <c r="Q206" s="938"/>
      <c r="R206" s="938"/>
      <c r="S206" s="938"/>
      <c r="T206" s="938"/>
      <c r="U206" s="938"/>
      <c r="V206" s="938"/>
      <c r="W206" s="938"/>
      <c r="AC206" s="497" t="s">
        <v>1144</v>
      </c>
      <c r="AD206" s="65"/>
      <c r="AE206" s="65"/>
      <c r="AF206" s="65"/>
      <c r="AG206" s="65"/>
      <c r="AH206" s="65"/>
      <c r="AI206" s="65"/>
      <c r="AJ206" s="65"/>
      <c r="AK206" s="65"/>
      <c r="AL206" s="65"/>
      <c r="AM206" s="65"/>
      <c r="AN206" s="65"/>
      <c r="AO206" s="445"/>
      <c r="AP206" s="445"/>
      <c r="AQ206" s="445"/>
      <c r="AR206" s="445"/>
      <c r="AS206" s="445"/>
      <c r="AT206" s="445"/>
      <c r="AU206" s="445"/>
      <c r="AV206" s="445"/>
      <c r="AW206" s="445"/>
      <c r="AX206" s="459"/>
    </row>
    <row r="207" spans="2:50" ht="15.75" thickBot="1" x14ac:dyDescent="0.3">
      <c r="B207" s="893"/>
      <c r="C207" s="889">
        <v>2000</v>
      </c>
      <c r="D207" s="889">
        <v>2001</v>
      </c>
      <c r="E207" s="889">
        <v>2002</v>
      </c>
      <c r="F207" s="889">
        <v>2003</v>
      </c>
      <c r="G207" s="889">
        <v>2004</v>
      </c>
      <c r="H207" s="889">
        <v>2005</v>
      </c>
      <c r="I207" s="889">
        <v>2006</v>
      </c>
      <c r="J207" s="889">
        <v>2007</v>
      </c>
      <c r="K207" s="889">
        <v>2008</v>
      </c>
      <c r="L207" s="889">
        <v>2009</v>
      </c>
      <c r="M207" s="889">
        <v>2010</v>
      </c>
      <c r="N207" s="889">
        <v>2011</v>
      </c>
      <c r="O207" s="889">
        <v>2012</v>
      </c>
      <c r="P207" s="889">
        <v>2013</v>
      </c>
      <c r="Q207" s="889">
        <v>2014</v>
      </c>
      <c r="R207" s="889">
        <v>2015</v>
      </c>
      <c r="S207" s="889">
        <v>2016</v>
      </c>
      <c r="T207" s="889">
        <v>2017</v>
      </c>
      <c r="U207" s="889">
        <v>2018</v>
      </c>
      <c r="V207" s="889">
        <v>2019</v>
      </c>
      <c r="W207" s="889">
        <v>2020</v>
      </c>
      <c r="AC207" s="487"/>
      <c r="AD207" s="65"/>
      <c r="AE207" s="65"/>
      <c r="AF207" s="65"/>
      <c r="AG207" s="65"/>
      <c r="AH207" s="65"/>
      <c r="AI207" s="65"/>
      <c r="AJ207" s="65"/>
      <c r="AK207" s="65"/>
      <c r="AL207" s="65"/>
      <c r="AM207" s="65"/>
      <c r="AN207" s="65"/>
      <c r="AO207" s="445"/>
      <c r="AP207" s="445"/>
      <c r="AQ207" s="445"/>
      <c r="AR207" s="445"/>
      <c r="AS207" s="445"/>
      <c r="AT207" s="445"/>
      <c r="AU207" s="445"/>
      <c r="AV207" s="445"/>
      <c r="AW207" s="445"/>
      <c r="AX207" s="459"/>
    </row>
    <row r="208" spans="2:50" ht="16.5" thickTop="1" x14ac:dyDescent="0.25">
      <c r="B208" s="894" t="s">
        <v>85</v>
      </c>
      <c r="C208" s="880">
        <v>488</v>
      </c>
      <c r="D208" s="880">
        <v>484</v>
      </c>
      <c r="E208" s="880">
        <v>419</v>
      </c>
      <c r="F208" s="880">
        <v>426</v>
      </c>
      <c r="G208" s="880">
        <v>438</v>
      </c>
      <c r="H208" s="880">
        <v>330</v>
      </c>
      <c r="I208" s="880">
        <v>312</v>
      </c>
      <c r="J208" s="880">
        <v>343</v>
      </c>
      <c r="K208" s="880">
        <v>309</v>
      </c>
      <c r="L208" s="880">
        <v>304</v>
      </c>
      <c r="M208" s="880">
        <v>307</v>
      </c>
      <c r="N208" s="880">
        <v>299</v>
      </c>
      <c r="O208" s="880">
        <v>310</v>
      </c>
      <c r="P208" s="880">
        <v>345</v>
      </c>
      <c r="Q208" s="880">
        <v>393</v>
      </c>
      <c r="R208" s="880">
        <v>447</v>
      </c>
      <c r="S208" s="880">
        <v>442</v>
      </c>
      <c r="T208" s="880">
        <v>408</v>
      </c>
      <c r="U208" s="880">
        <v>429</v>
      </c>
      <c r="V208" s="880">
        <v>408</v>
      </c>
      <c r="W208" s="880">
        <v>398</v>
      </c>
      <c r="AC208" s="468" t="s">
        <v>1163</v>
      </c>
      <c r="AD208" s="65"/>
      <c r="AE208" s="65"/>
      <c r="AF208" s="65"/>
      <c r="AG208" s="65"/>
      <c r="AH208" s="65"/>
      <c r="AI208" s="65"/>
      <c r="AJ208" s="65"/>
      <c r="AK208" s="65"/>
      <c r="AL208" s="65"/>
      <c r="AM208" s="65"/>
      <c r="AN208" s="65"/>
      <c r="AO208" s="445"/>
      <c r="AP208" s="445"/>
      <c r="AQ208" s="445"/>
      <c r="AR208" s="445"/>
      <c r="AS208" s="445"/>
      <c r="AT208" s="445"/>
      <c r="AU208" s="445"/>
      <c r="AV208" s="445"/>
      <c r="AW208" s="445"/>
      <c r="AX208" s="459"/>
    </row>
    <row r="209" spans="2:50" ht="15.75" thickBot="1" x14ac:dyDescent="0.3">
      <c r="B209" s="179" t="s">
        <v>81</v>
      </c>
      <c r="C209" s="878">
        <v>440</v>
      </c>
      <c r="D209" s="878">
        <v>438</v>
      </c>
      <c r="E209" s="878">
        <v>374</v>
      </c>
      <c r="F209" s="878">
        <v>386</v>
      </c>
      <c r="G209" s="878">
        <v>394</v>
      </c>
      <c r="H209" s="878">
        <v>303</v>
      </c>
      <c r="I209" s="878">
        <v>287</v>
      </c>
      <c r="J209" s="878">
        <v>314</v>
      </c>
      <c r="K209" s="878">
        <v>281</v>
      </c>
      <c r="L209" s="878">
        <v>274</v>
      </c>
      <c r="M209" s="878">
        <v>280</v>
      </c>
      <c r="N209" s="878">
        <v>273</v>
      </c>
      <c r="O209" s="878">
        <v>284</v>
      </c>
      <c r="P209" s="878">
        <v>314</v>
      </c>
      <c r="Q209" s="878">
        <v>359</v>
      </c>
      <c r="R209" s="878">
        <v>404</v>
      </c>
      <c r="S209" s="878">
        <v>390</v>
      </c>
      <c r="T209" s="878">
        <v>354</v>
      </c>
      <c r="U209" s="878">
        <v>373</v>
      </c>
      <c r="V209" s="878">
        <v>350</v>
      </c>
      <c r="W209" s="878">
        <v>343</v>
      </c>
      <c r="AC209" s="514" t="s">
        <v>1162</v>
      </c>
      <c r="AD209" s="91">
        <v>2016</v>
      </c>
      <c r="AE209" s="91">
        <v>2017</v>
      </c>
      <c r="AF209" s="91">
        <v>2018</v>
      </c>
      <c r="AG209" s="91">
        <v>2019</v>
      </c>
      <c r="AH209" s="91">
        <v>2020</v>
      </c>
      <c r="AI209" s="91">
        <v>2021</v>
      </c>
      <c r="AJ209"/>
      <c r="AK209" s="65"/>
      <c r="AL209" s="65"/>
      <c r="AM209" s="65"/>
      <c r="AN209" s="65"/>
      <c r="AO209" s="445"/>
      <c r="AP209" s="445"/>
      <c r="AQ209" s="445"/>
      <c r="AR209" s="445"/>
      <c r="AS209" s="445"/>
      <c r="AT209" s="445"/>
      <c r="AU209" s="445"/>
      <c r="AV209" s="445"/>
      <c r="AW209" s="445"/>
      <c r="AX209" s="459"/>
    </row>
    <row r="210" spans="2:50" ht="15.75" thickTop="1" x14ac:dyDescent="0.25">
      <c r="B210" s="179" t="s">
        <v>82</v>
      </c>
      <c r="C210" s="878">
        <v>22</v>
      </c>
      <c r="D210" s="878">
        <v>21</v>
      </c>
      <c r="E210" s="878">
        <v>21</v>
      </c>
      <c r="F210" s="878">
        <v>12</v>
      </c>
      <c r="G210" s="878">
        <v>12</v>
      </c>
      <c r="H210" s="878">
        <v>3</v>
      </c>
      <c r="I210" s="878">
        <v>3</v>
      </c>
      <c r="J210" s="878">
        <v>7</v>
      </c>
      <c r="K210" s="878">
        <v>4</v>
      </c>
      <c r="L210" s="878">
        <v>4</v>
      </c>
      <c r="M210" s="878">
        <v>4</v>
      </c>
      <c r="N210" s="878">
        <v>4</v>
      </c>
      <c r="O210" s="878">
        <v>4</v>
      </c>
      <c r="P210" s="878">
        <v>5</v>
      </c>
      <c r="Q210" s="878">
        <v>8</v>
      </c>
      <c r="R210" s="878">
        <v>12</v>
      </c>
      <c r="S210" s="878">
        <v>10</v>
      </c>
      <c r="T210" s="878">
        <v>11</v>
      </c>
      <c r="U210" s="878">
        <v>13</v>
      </c>
      <c r="V210" s="878">
        <v>17</v>
      </c>
      <c r="W210" s="878">
        <v>15</v>
      </c>
      <c r="AC210" s="487" t="s">
        <v>1145</v>
      </c>
      <c r="AD210" s="530">
        <v>2</v>
      </c>
      <c r="AE210" s="530">
        <v>2</v>
      </c>
      <c r="AF210" s="530">
        <v>2.4</v>
      </c>
      <c r="AG210" s="530">
        <v>2.2000000000000002</v>
      </c>
      <c r="AH210" s="530">
        <v>1.7</v>
      </c>
      <c r="AI210" s="530">
        <v>1.8</v>
      </c>
      <c r="AJ210"/>
      <c r="AK210" s="65"/>
      <c r="AL210" s="65"/>
      <c r="AM210" s="65"/>
      <c r="AN210" s="65"/>
      <c r="AO210" s="445"/>
      <c r="AP210" s="445"/>
      <c r="AQ210" s="445"/>
      <c r="AR210" s="445"/>
      <c r="AS210" s="445"/>
      <c r="AT210" s="445"/>
      <c r="AU210" s="445"/>
      <c r="AV210" s="445"/>
      <c r="AW210" s="445"/>
      <c r="AX210" s="459"/>
    </row>
    <row r="211" spans="2:50" x14ac:dyDescent="0.25">
      <c r="B211" s="179" t="s">
        <v>83</v>
      </c>
      <c r="C211" s="878">
        <v>17</v>
      </c>
      <c r="D211" s="878">
        <v>17</v>
      </c>
      <c r="E211" s="878">
        <v>16</v>
      </c>
      <c r="F211" s="878">
        <v>19</v>
      </c>
      <c r="G211" s="878">
        <v>23</v>
      </c>
      <c r="H211" s="878">
        <v>16</v>
      </c>
      <c r="I211" s="878">
        <v>14</v>
      </c>
      <c r="J211" s="878">
        <v>14</v>
      </c>
      <c r="K211" s="878">
        <v>16</v>
      </c>
      <c r="L211" s="878">
        <v>18</v>
      </c>
      <c r="M211" s="878">
        <v>15</v>
      </c>
      <c r="N211" s="878">
        <v>14</v>
      </c>
      <c r="O211" s="878">
        <v>14</v>
      </c>
      <c r="P211" s="878">
        <v>18</v>
      </c>
      <c r="Q211" s="878">
        <v>18</v>
      </c>
      <c r="R211" s="878">
        <v>20</v>
      </c>
      <c r="S211" s="878">
        <v>26</v>
      </c>
      <c r="T211" s="878">
        <v>26</v>
      </c>
      <c r="U211" s="878">
        <v>26</v>
      </c>
      <c r="V211" s="878">
        <v>24</v>
      </c>
      <c r="W211" s="878">
        <v>23</v>
      </c>
      <c r="AC211" s="487" t="s">
        <v>1146</v>
      </c>
      <c r="AD211" s="530">
        <v>8.3000000000000007</v>
      </c>
      <c r="AE211" s="530">
        <v>8.9</v>
      </c>
      <c r="AF211" s="530">
        <v>9</v>
      </c>
      <c r="AG211" s="530">
        <v>8.6</v>
      </c>
      <c r="AH211" s="530">
        <v>8.3000000000000007</v>
      </c>
      <c r="AI211" s="530">
        <v>8.6</v>
      </c>
      <c r="AJ211"/>
      <c r="AK211" s="65"/>
      <c r="AL211" s="65"/>
      <c r="AM211" s="65"/>
      <c r="AN211" s="65"/>
      <c r="AO211" s="445"/>
      <c r="AP211" s="445"/>
      <c r="AQ211" s="445"/>
      <c r="AR211" s="445"/>
      <c r="AS211" s="445"/>
      <c r="AT211" s="445"/>
      <c r="AU211" s="445"/>
      <c r="AV211" s="445"/>
      <c r="AW211" s="445"/>
      <c r="AX211" s="459"/>
    </row>
    <row r="212" spans="2:50" x14ac:dyDescent="0.25">
      <c r="B212" s="179" t="s">
        <v>84</v>
      </c>
      <c r="C212" s="878">
        <v>9</v>
      </c>
      <c r="D212" s="878">
        <v>8</v>
      </c>
      <c r="E212" s="878">
        <v>8</v>
      </c>
      <c r="F212" s="878">
        <v>9</v>
      </c>
      <c r="G212" s="878">
        <v>9</v>
      </c>
      <c r="H212" s="878">
        <v>8</v>
      </c>
      <c r="I212" s="878">
        <v>8</v>
      </c>
      <c r="J212" s="878">
        <v>8</v>
      </c>
      <c r="K212" s="878">
        <v>8</v>
      </c>
      <c r="L212" s="878">
        <v>8</v>
      </c>
      <c r="M212" s="878">
        <v>8</v>
      </c>
      <c r="N212" s="878">
        <v>8</v>
      </c>
      <c r="O212" s="878">
        <v>8</v>
      </c>
      <c r="P212" s="878">
        <v>8</v>
      </c>
      <c r="Q212" s="878">
        <v>8</v>
      </c>
      <c r="R212" s="878">
        <v>11</v>
      </c>
      <c r="S212" s="878">
        <v>16</v>
      </c>
      <c r="T212" s="878">
        <v>17</v>
      </c>
      <c r="U212" s="878">
        <v>17</v>
      </c>
      <c r="V212" s="878">
        <v>17</v>
      </c>
      <c r="W212" s="878">
        <v>17</v>
      </c>
      <c r="AC212" s="485" t="s">
        <v>1161</v>
      </c>
      <c r="AD212" s="531">
        <v>9.6999999999999993</v>
      </c>
      <c r="AE212" s="531">
        <v>10.3</v>
      </c>
      <c r="AF212" s="531">
        <v>12.2</v>
      </c>
      <c r="AG212" s="531">
        <v>10.6</v>
      </c>
      <c r="AH212" s="531">
        <v>10.9</v>
      </c>
      <c r="AI212" s="531">
        <v>11.4</v>
      </c>
      <c r="AJ212"/>
      <c r="AK212" s="65"/>
      <c r="AL212" s="65"/>
      <c r="AM212" s="65"/>
      <c r="AN212" s="65"/>
      <c r="AO212" s="445"/>
      <c r="AP212" s="445"/>
      <c r="AQ212" s="445"/>
      <c r="AR212" s="445"/>
      <c r="AS212" s="445"/>
      <c r="AT212" s="445"/>
      <c r="AU212" s="445"/>
      <c r="AV212" s="445"/>
      <c r="AW212" s="445"/>
      <c r="AX212" s="459"/>
    </row>
    <row r="213" spans="2:50" x14ac:dyDescent="0.25">
      <c r="B213" s="894" t="s">
        <v>86</v>
      </c>
      <c r="C213" s="880">
        <v>16730</v>
      </c>
      <c r="D213" s="880">
        <v>16411</v>
      </c>
      <c r="E213" s="880">
        <v>14182</v>
      </c>
      <c r="F213" s="880">
        <v>13295</v>
      </c>
      <c r="G213" s="880">
        <v>13288</v>
      </c>
      <c r="H213" s="880">
        <v>6728</v>
      </c>
      <c r="I213" s="880">
        <v>6666</v>
      </c>
      <c r="J213" s="880">
        <v>7558</v>
      </c>
      <c r="K213" s="880">
        <v>5556</v>
      </c>
      <c r="L213" s="880">
        <v>5374</v>
      </c>
      <c r="M213" s="880">
        <v>3967</v>
      </c>
      <c r="N213" s="880">
        <v>3281</v>
      </c>
      <c r="O213" s="880">
        <v>3269</v>
      </c>
      <c r="P213" s="880">
        <v>2579</v>
      </c>
      <c r="Q213" s="880">
        <v>4124</v>
      </c>
      <c r="R213" s="880">
        <v>4916</v>
      </c>
      <c r="S213" s="880">
        <v>4651</v>
      </c>
      <c r="T213" s="880">
        <v>4798</v>
      </c>
      <c r="U213" s="880">
        <v>8680</v>
      </c>
      <c r="V213" s="880">
        <v>6925</v>
      </c>
      <c r="W213" s="880">
        <v>4586</v>
      </c>
      <c r="AC213" s="487" t="s">
        <v>1147</v>
      </c>
      <c r="AD213" s="530">
        <v>35.4</v>
      </c>
      <c r="AE213" s="530">
        <v>38</v>
      </c>
      <c r="AF213" s="530">
        <v>38.9</v>
      </c>
      <c r="AG213" s="530">
        <v>40.6</v>
      </c>
      <c r="AH213" s="530">
        <v>35.1</v>
      </c>
      <c r="AI213" s="530">
        <v>34</v>
      </c>
      <c r="AJ213"/>
      <c r="AK213" s="65"/>
      <c r="AL213" s="65"/>
      <c r="AM213" s="65"/>
      <c r="AN213" s="65"/>
      <c r="AO213" s="445"/>
      <c r="AP213" s="445"/>
      <c r="AQ213" s="445"/>
      <c r="AR213" s="445"/>
      <c r="AS213" s="445"/>
      <c r="AT213" s="445"/>
      <c r="AU213" s="445"/>
      <c r="AV213" s="445"/>
      <c r="AW213" s="445"/>
      <c r="AX213" s="459"/>
    </row>
    <row r="214" spans="2:50" x14ac:dyDescent="0.25">
      <c r="B214" s="167" t="s">
        <v>87</v>
      </c>
      <c r="C214" s="880">
        <v>109</v>
      </c>
      <c r="D214" s="880">
        <v>126</v>
      </c>
      <c r="E214" s="880">
        <v>126</v>
      </c>
      <c r="F214" s="880">
        <v>72</v>
      </c>
      <c r="G214" s="880">
        <v>81</v>
      </c>
      <c r="H214" s="880">
        <v>83</v>
      </c>
      <c r="I214" s="880">
        <v>84</v>
      </c>
      <c r="J214" s="880">
        <v>86</v>
      </c>
      <c r="K214" s="880">
        <v>66</v>
      </c>
      <c r="L214" s="880">
        <v>64</v>
      </c>
      <c r="M214" s="880">
        <v>65</v>
      </c>
      <c r="N214" s="880">
        <v>63</v>
      </c>
      <c r="O214" s="880">
        <v>57</v>
      </c>
      <c r="P214" s="880">
        <v>52</v>
      </c>
      <c r="Q214" s="880">
        <v>53</v>
      </c>
      <c r="R214" s="880">
        <v>72</v>
      </c>
      <c r="S214" s="880">
        <v>68</v>
      </c>
      <c r="T214" s="880">
        <v>68</v>
      </c>
      <c r="U214" s="880">
        <v>68</v>
      </c>
      <c r="V214" s="880">
        <v>60</v>
      </c>
      <c r="W214" s="880">
        <v>61</v>
      </c>
      <c r="AC214" s="487" t="s">
        <v>1148</v>
      </c>
      <c r="AD214" s="530">
        <v>5.4</v>
      </c>
      <c r="AE214" s="530">
        <v>5.6</v>
      </c>
      <c r="AF214" s="530">
        <v>5.3</v>
      </c>
      <c r="AG214" s="530">
        <v>4.5999999999999996</v>
      </c>
      <c r="AH214" s="530">
        <v>3.4</v>
      </c>
      <c r="AI214" s="530">
        <v>4.2</v>
      </c>
      <c r="AJ214"/>
      <c r="AK214" s="65"/>
      <c r="AL214" s="65"/>
      <c r="AM214" s="65"/>
      <c r="AN214" s="65"/>
      <c r="AO214" s="445"/>
      <c r="AP214" s="445"/>
      <c r="AQ214" s="445"/>
      <c r="AR214" s="445"/>
      <c r="AS214" s="445"/>
      <c r="AT214" s="445"/>
      <c r="AU214" s="445"/>
      <c r="AV214" s="445"/>
      <c r="AW214" s="445"/>
      <c r="AX214" s="459"/>
    </row>
    <row r="215" spans="2:50" x14ac:dyDescent="0.25">
      <c r="AC215" s="487" t="s">
        <v>1149</v>
      </c>
      <c r="AD215" s="530">
        <v>1.6</v>
      </c>
      <c r="AE215" s="530">
        <v>1.3</v>
      </c>
      <c r="AF215" s="530">
        <v>1.5</v>
      </c>
      <c r="AG215" s="530">
        <v>1</v>
      </c>
      <c r="AH215" s="530">
        <v>0.6</v>
      </c>
      <c r="AI215" s="530">
        <v>1.2</v>
      </c>
      <c r="AJ215"/>
      <c r="AK215" s="65"/>
      <c r="AL215" s="65"/>
      <c r="AM215" s="65"/>
      <c r="AN215" s="65"/>
      <c r="AO215" s="445"/>
      <c r="AP215" s="445"/>
      <c r="AQ215" s="445"/>
      <c r="AR215" s="445"/>
      <c r="AS215" s="445"/>
      <c r="AT215" s="445"/>
      <c r="AU215" s="445"/>
      <c r="AV215" s="445"/>
      <c r="AW215" s="445"/>
      <c r="AX215" s="459"/>
    </row>
    <row r="216" spans="2:50" x14ac:dyDescent="0.25">
      <c r="AC216" s="487" t="s">
        <v>1150</v>
      </c>
      <c r="AD216" s="530">
        <v>18.899999999999999</v>
      </c>
      <c r="AE216" s="530">
        <v>24.2</v>
      </c>
      <c r="AF216" s="530">
        <v>26.7</v>
      </c>
      <c r="AG216" s="530">
        <v>29.8</v>
      </c>
      <c r="AH216" s="530">
        <v>32.4</v>
      </c>
      <c r="AI216" s="530">
        <v>28.8</v>
      </c>
      <c r="AJ216"/>
      <c r="AK216" s="65"/>
      <c r="AL216" s="65"/>
      <c r="AM216" s="65"/>
      <c r="AN216" s="65"/>
      <c r="AO216" s="445"/>
      <c r="AP216" s="445"/>
      <c r="AQ216" s="445"/>
      <c r="AR216" s="445"/>
      <c r="AS216" s="445"/>
      <c r="AT216" s="445"/>
      <c r="AU216" s="445"/>
      <c r="AV216" s="445"/>
      <c r="AW216" s="445"/>
      <c r="AX216" s="459"/>
    </row>
    <row r="217" spans="2:50" x14ac:dyDescent="0.25">
      <c r="AC217" s="487" t="s">
        <v>279</v>
      </c>
      <c r="AD217" s="530">
        <v>24.8</v>
      </c>
      <c r="AE217" s="530">
        <v>27.6</v>
      </c>
      <c r="AF217" s="530">
        <v>27.6</v>
      </c>
      <c r="AG217" s="530">
        <v>29</v>
      </c>
      <c r="AH217" s="530">
        <v>27</v>
      </c>
      <c r="AI217" s="530">
        <v>28.3</v>
      </c>
      <c r="AJ217"/>
      <c r="AK217" s="65"/>
      <c r="AL217" s="65"/>
      <c r="AM217" s="65"/>
      <c r="AN217" s="65"/>
      <c r="AO217" s="445"/>
      <c r="AP217" s="445"/>
      <c r="AQ217" s="445"/>
      <c r="AR217" s="445"/>
      <c r="AS217" s="445"/>
      <c r="AT217" s="445"/>
      <c r="AU217" s="445"/>
      <c r="AV217" s="445"/>
      <c r="AW217" s="445"/>
      <c r="AX217" s="459"/>
    </row>
    <row r="218" spans="2:50" x14ac:dyDescent="0.25">
      <c r="AC218" s="487" t="s">
        <v>1151</v>
      </c>
      <c r="AD218" s="530">
        <v>0.3</v>
      </c>
      <c r="AE218" s="530">
        <v>0.3</v>
      </c>
      <c r="AF218" s="530">
        <v>0.4</v>
      </c>
      <c r="AG218" s="530">
        <v>0.6</v>
      </c>
      <c r="AH218" s="530">
        <v>0.5</v>
      </c>
      <c r="AI218" s="530">
        <v>0.9</v>
      </c>
      <c r="AJ218"/>
      <c r="AK218" s="65"/>
      <c r="AL218" s="65"/>
      <c r="AM218" s="65"/>
      <c r="AN218" s="65"/>
      <c r="AO218" s="445"/>
      <c r="AP218" s="445"/>
      <c r="AQ218" s="445"/>
      <c r="AR218" s="445"/>
      <c r="AS218" s="445"/>
      <c r="AT218" s="445"/>
      <c r="AU218" s="445"/>
      <c r="AV218" s="445"/>
      <c r="AW218" s="445"/>
      <c r="AX218" s="459"/>
    </row>
    <row r="219" spans="2:50" x14ac:dyDescent="0.25">
      <c r="AC219" s="487" t="s">
        <v>1152</v>
      </c>
      <c r="AD219" s="530">
        <v>26.4</v>
      </c>
      <c r="AE219" s="530">
        <v>30.5</v>
      </c>
      <c r="AF219" s="530">
        <v>25.1</v>
      </c>
      <c r="AG219" s="530">
        <v>25.4</v>
      </c>
      <c r="AH219" s="530">
        <v>26</v>
      </c>
      <c r="AI219" s="530">
        <v>24.6</v>
      </c>
      <c r="AJ219"/>
      <c r="AK219" s="65"/>
      <c r="AL219" s="65"/>
      <c r="AM219" s="65"/>
      <c r="AN219" s="65"/>
      <c r="AO219" s="445"/>
      <c r="AP219" s="445"/>
      <c r="AQ219" s="445"/>
      <c r="AR219" s="445"/>
      <c r="AS219" s="445"/>
      <c r="AT219" s="445"/>
      <c r="AU219" s="445"/>
      <c r="AV219" s="445"/>
      <c r="AW219" s="445"/>
      <c r="AX219" s="459"/>
    </row>
    <row r="220" spans="2:50" x14ac:dyDescent="0.25">
      <c r="AC220" s="487" t="s">
        <v>1153</v>
      </c>
      <c r="AD220" s="530">
        <v>22.9</v>
      </c>
      <c r="AE220" s="530">
        <v>24.2</v>
      </c>
      <c r="AF220" s="530">
        <v>25.4</v>
      </c>
      <c r="AG220" s="530">
        <v>29.3</v>
      </c>
      <c r="AH220" s="530">
        <v>33.1</v>
      </c>
      <c r="AI220" s="530">
        <v>32.1</v>
      </c>
      <c r="AJ220"/>
      <c r="AK220" s="65"/>
      <c r="AL220" s="65"/>
      <c r="AM220" s="65"/>
      <c r="AN220" s="65"/>
      <c r="AO220" s="445"/>
      <c r="AP220" s="445"/>
      <c r="AQ220" s="445"/>
      <c r="AR220" s="445"/>
      <c r="AS220" s="445"/>
      <c r="AT220" s="445"/>
      <c r="AU220" s="445"/>
      <c r="AV220" s="445"/>
      <c r="AW220" s="445"/>
      <c r="AX220" s="459"/>
    </row>
    <row r="221" spans="2:50" x14ac:dyDescent="0.25">
      <c r="AC221" s="487" t="s">
        <v>1154</v>
      </c>
      <c r="AD221" s="530">
        <v>1.7</v>
      </c>
      <c r="AE221" s="530">
        <v>1.7</v>
      </c>
      <c r="AF221" s="530">
        <v>1.7</v>
      </c>
      <c r="AG221" s="530">
        <v>1.7</v>
      </c>
      <c r="AH221" s="530">
        <v>1.5</v>
      </c>
      <c r="AI221" s="530">
        <v>1.4</v>
      </c>
      <c r="AJ221"/>
      <c r="AK221" s="65"/>
      <c r="AL221" s="65"/>
      <c r="AM221" s="65"/>
      <c r="AN221" s="65"/>
      <c r="AO221" s="445"/>
      <c r="AP221" s="445"/>
      <c r="AQ221" s="445"/>
      <c r="AR221" s="445"/>
      <c r="AS221" s="445"/>
      <c r="AT221" s="445"/>
      <c r="AU221" s="445"/>
      <c r="AV221" s="445"/>
      <c r="AW221" s="445"/>
      <c r="AX221" s="459"/>
    </row>
    <row r="222" spans="2:50" x14ac:dyDescent="0.25">
      <c r="AC222" s="485" t="s">
        <v>1155</v>
      </c>
      <c r="AD222" s="531">
        <v>8.8000000000000007</v>
      </c>
      <c r="AE222" s="531">
        <v>8.8000000000000007</v>
      </c>
      <c r="AF222" s="531">
        <v>8.6999999999999993</v>
      </c>
      <c r="AG222" s="531">
        <v>9.3000000000000007</v>
      </c>
      <c r="AH222" s="531">
        <v>10.199999999999999</v>
      </c>
      <c r="AI222" s="531">
        <v>8.8000000000000007</v>
      </c>
      <c r="AJ222"/>
      <c r="AK222" s="65"/>
      <c r="AL222" s="65"/>
      <c r="AM222" s="65"/>
      <c r="AN222" s="65"/>
      <c r="AO222" s="445"/>
      <c r="AP222" s="445"/>
      <c r="AQ222" s="445"/>
      <c r="AR222" s="445"/>
      <c r="AS222" s="445"/>
      <c r="AT222" s="445"/>
      <c r="AU222" s="445"/>
      <c r="AV222" s="445"/>
      <c r="AW222" s="445"/>
      <c r="AX222" s="459"/>
    </row>
    <row r="223" spans="2:50" x14ac:dyDescent="0.25">
      <c r="AC223" s="485" t="s">
        <v>1156</v>
      </c>
      <c r="AD223" s="531">
        <v>1.8</v>
      </c>
      <c r="AE223" s="531">
        <v>2.2000000000000002</v>
      </c>
      <c r="AF223" s="531">
        <v>2.2000000000000002</v>
      </c>
      <c r="AG223" s="531">
        <v>2.2000000000000002</v>
      </c>
      <c r="AH223" s="531">
        <v>2.2000000000000002</v>
      </c>
      <c r="AI223" s="531">
        <v>2.2999999999999998</v>
      </c>
      <c r="AJ223"/>
      <c r="AK223" s="65"/>
      <c r="AL223" s="65"/>
      <c r="AM223" s="65"/>
      <c r="AN223" s="65"/>
      <c r="AO223" s="445"/>
      <c r="AP223" s="445"/>
      <c r="AQ223" s="445"/>
      <c r="AR223" s="445"/>
      <c r="AS223" s="445"/>
      <c r="AT223" s="445"/>
      <c r="AU223" s="445"/>
      <c r="AV223" s="445"/>
      <c r="AW223" s="445"/>
      <c r="AX223" s="459"/>
    </row>
    <row r="224" spans="2:50" x14ac:dyDescent="0.25">
      <c r="AC224" s="487" t="s">
        <v>1160</v>
      </c>
      <c r="AD224" s="530">
        <v>2.8</v>
      </c>
      <c r="AE224" s="530">
        <v>2.6</v>
      </c>
      <c r="AF224" s="530">
        <v>3.8</v>
      </c>
      <c r="AG224" s="530">
        <v>4.2</v>
      </c>
      <c r="AH224" s="530">
        <v>3.3</v>
      </c>
      <c r="AI224" s="530">
        <v>3.9</v>
      </c>
      <c r="AJ224"/>
      <c r="AK224" s="65"/>
      <c r="AL224" s="65"/>
      <c r="AM224" s="65"/>
      <c r="AN224" s="65"/>
      <c r="AO224" s="445"/>
      <c r="AP224" s="445"/>
      <c r="AQ224" s="445"/>
      <c r="AR224" s="445"/>
      <c r="AS224" s="445"/>
      <c r="AT224" s="445"/>
      <c r="AU224" s="445"/>
      <c r="AV224" s="445"/>
      <c r="AW224" s="445"/>
      <c r="AX224" s="459"/>
    </row>
    <row r="225" spans="29:50" x14ac:dyDescent="0.25">
      <c r="AC225" s="487" t="s">
        <v>1158</v>
      </c>
      <c r="AD225" s="530">
        <v>135.5</v>
      </c>
      <c r="AE225" s="530">
        <v>142.1</v>
      </c>
      <c r="AF225" s="530">
        <v>147.1</v>
      </c>
      <c r="AG225" s="530">
        <v>144.19999999999999</v>
      </c>
      <c r="AH225" s="530">
        <v>145.5</v>
      </c>
      <c r="AI225" s="530">
        <v>146.5</v>
      </c>
      <c r="AJ225"/>
      <c r="AK225" s="65"/>
      <c r="AL225" s="65"/>
      <c r="AM225" s="65"/>
      <c r="AN225" s="65"/>
      <c r="AO225" s="445"/>
      <c r="AP225" s="445"/>
      <c r="AQ225" s="445"/>
      <c r="AR225" s="445"/>
      <c r="AS225" s="445"/>
      <c r="AT225" s="445"/>
      <c r="AU225" s="445"/>
      <c r="AV225" s="445"/>
      <c r="AW225" s="445"/>
      <c r="AX225" s="459"/>
    </row>
    <row r="226" spans="29:50" x14ac:dyDescent="0.25">
      <c r="AC226" s="485" t="s">
        <v>1159</v>
      </c>
      <c r="AD226" s="531">
        <v>4.8</v>
      </c>
      <c r="AE226" s="531">
        <v>5.0999999999999996</v>
      </c>
      <c r="AF226" s="531">
        <v>5.2</v>
      </c>
      <c r="AG226" s="531">
        <v>4.7</v>
      </c>
      <c r="AH226" s="531">
        <v>4.5</v>
      </c>
      <c r="AI226" s="531">
        <v>4.3</v>
      </c>
      <c r="AJ226"/>
      <c r="AK226" s="65"/>
      <c r="AL226" s="65"/>
      <c r="AM226" s="65"/>
      <c r="AN226" s="65"/>
      <c r="AO226" s="445"/>
      <c r="AP226" s="445"/>
      <c r="AQ226" s="445"/>
      <c r="AR226" s="445"/>
      <c r="AS226" s="445"/>
      <c r="AT226" s="445"/>
      <c r="AU226" s="445"/>
      <c r="AV226" s="445"/>
      <c r="AW226" s="445"/>
      <c r="AX226" s="459"/>
    </row>
    <row r="227" spans="29:50" x14ac:dyDescent="0.25">
      <c r="AC227" s="507" t="s">
        <v>1157</v>
      </c>
      <c r="AD227" s="532">
        <v>311.2</v>
      </c>
      <c r="AE227" s="532">
        <v>335.4</v>
      </c>
      <c r="AF227" s="532">
        <v>343.1</v>
      </c>
      <c r="AG227" s="532">
        <v>348.1</v>
      </c>
      <c r="AH227" s="532">
        <v>346.3</v>
      </c>
      <c r="AI227" s="532">
        <v>343.1</v>
      </c>
      <c r="AJ227"/>
      <c r="AK227" s="65"/>
      <c r="AL227" s="65"/>
      <c r="AM227" s="65"/>
      <c r="AN227" s="65"/>
      <c r="AO227" s="445"/>
      <c r="AP227" s="445"/>
      <c r="AQ227" s="445"/>
      <c r="AR227" s="445"/>
      <c r="AS227" s="445"/>
      <c r="AT227" s="445"/>
      <c r="AU227" s="445"/>
      <c r="AV227" s="445"/>
      <c r="AW227" s="445"/>
      <c r="AX227" s="459"/>
    </row>
    <row r="228" spans="29:50" x14ac:dyDescent="0.25">
      <c r="AC228" s="525"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5"/>
      <c r="AP228" s="445"/>
      <c r="AQ228" s="445"/>
      <c r="AR228" s="445"/>
      <c r="AS228" s="445"/>
      <c r="AT228" s="445"/>
      <c r="AU228" s="445"/>
      <c r="AV228" s="445"/>
      <c r="AW228" s="445"/>
      <c r="AX228" s="459"/>
    </row>
    <row r="229" spans="29:50" x14ac:dyDescent="0.25">
      <c r="AC229" s="487"/>
      <c r="AD229" s="65"/>
      <c r="AE229" s="65"/>
      <c r="AF229" s="65"/>
      <c r="AG229" s="65"/>
      <c r="AH229" s="65"/>
      <c r="AI229" s="65"/>
      <c r="AJ229" s="65"/>
      <c r="AK229" s="65"/>
      <c r="AL229" s="65"/>
      <c r="AM229" s="65"/>
      <c r="AN229" s="65"/>
      <c r="AO229" s="445"/>
      <c r="AP229" s="445"/>
      <c r="AQ229" s="445"/>
      <c r="AR229" s="445"/>
      <c r="AS229" s="445"/>
      <c r="AT229" s="445"/>
      <c r="AU229" s="445"/>
      <c r="AV229" s="445"/>
      <c r="AW229" s="445"/>
      <c r="AX229" s="459"/>
    </row>
    <row r="230" spans="29:50" ht="15.75" x14ac:dyDescent="0.25">
      <c r="AC230" s="533" t="s">
        <v>1184</v>
      </c>
      <c r="AD230"/>
      <c r="AE230"/>
      <c r="AF230"/>
      <c r="AG230" s="65"/>
      <c r="AH230" s="65"/>
      <c r="AI230" s="65"/>
      <c r="AJ230" s="534" t="s">
        <v>1186</v>
      </c>
      <c r="AK230"/>
      <c r="AL230"/>
      <c r="AM230"/>
      <c r="AN230" s="65"/>
      <c r="AO230" s="65"/>
      <c r="AP230" s="445"/>
      <c r="AQ230" s="445"/>
      <c r="AR230" s="445"/>
      <c r="AS230" s="445"/>
      <c r="AT230" s="445"/>
      <c r="AU230" s="445"/>
      <c r="AV230" s="445"/>
      <c r="AW230" s="445"/>
      <c r="AX230" s="459"/>
    </row>
    <row r="231" spans="29:50" ht="15.75" thickBot="1" x14ac:dyDescent="0.3">
      <c r="AC231" s="62" t="s">
        <v>400</v>
      </c>
      <c r="AD231" s="16" t="s">
        <v>1167</v>
      </c>
      <c r="AE231" s="16" t="s">
        <v>233</v>
      </c>
      <c r="AF231" s="16" t="s">
        <v>374</v>
      </c>
      <c r="AG231" s="264" t="s">
        <v>248</v>
      </c>
      <c r="AH231" s="479" t="s">
        <v>1187</v>
      </c>
      <c r="AI231" s="65"/>
      <c r="AJ231" s="16" t="s">
        <v>400</v>
      </c>
      <c r="AK231" s="16" t="s">
        <v>1167</v>
      </c>
      <c r="AL231" s="16" t="s">
        <v>233</v>
      </c>
      <c r="AM231" s="16" t="s">
        <v>374</v>
      </c>
      <c r="AN231" s="264" t="s">
        <v>248</v>
      </c>
      <c r="AO231" s="479" t="s">
        <v>1185</v>
      </c>
      <c r="AP231" s="445"/>
      <c r="AQ231" s="445"/>
      <c r="AR231" s="445"/>
      <c r="AS231" s="445"/>
      <c r="AT231" s="445"/>
      <c r="AU231" s="445"/>
      <c r="AV231" s="445"/>
      <c r="AW231" s="445"/>
      <c r="AX231" s="459"/>
    </row>
    <row r="232" spans="29:50" ht="15.75" thickTop="1" x14ac:dyDescent="0.25">
      <c r="AC232" s="535" t="s">
        <v>1168</v>
      </c>
      <c r="AD232" s="536">
        <v>213894.45907867007</v>
      </c>
      <c r="AE232" s="536">
        <v>0</v>
      </c>
      <c r="AF232" s="536">
        <v>73820.343306816299</v>
      </c>
      <c r="AG232" s="272">
        <v>287714.80238548637</v>
      </c>
      <c r="AH232" s="537">
        <f>AG232/$AH$247</f>
        <v>0.80089800013350954</v>
      </c>
      <c r="AI232" s="65"/>
      <c r="AJ232" s="479" t="s">
        <v>1169</v>
      </c>
      <c r="AK232" s="520">
        <v>25339.11547538243</v>
      </c>
      <c r="AL232" s="520">
        <v>3299.6522131612251</v>
      </c>
      <c r="AM232" s="520">
        <v>13.111293274680284</v>
      </c>
      <c r="AN232" s="269">
        <v>28651.878981818343</v>
      </c>
      <c r="AO232" s="114">
        <f t="shared" ref="AO232:AO246" si="18">AN232/$AN$247</f>
        <v>0.22675162924846207</v>
      </c>
      <c r="AP232" s="445"/>
      <c r="AQ232" s="445"/>
      <c r="AR232" s="445"/>
      <c r="AS232" s="445"/>
      <c r="AT232" s="445"/>
      <c r="AU232" s="445"/>
      <c r="AV232" s="445"/>
      <c r="AW232" s="445"/>
      <c r="AX232" s="459"/>
    </row>
    <row r="233" spans="29:50" x14ac:dyDescent="0.25">
      <c r="AC233" s="538" t="s">
        <v>1181</v>
      </c>
      <c r="AD233" s="536">
        <v>42104.143513958472</v>
      </c>
      <c r="AE233" s="536">
        <v>0</v>
      </c>
      <c r="AF233" s="536">
        <v>0</v>
      </c>
      <c r="AG233" s="272">
        <v>42104.143513958472</v>
      </c>
      <c r="AH233" s="537">
        <f>AG233/$AH$247</f>
        <v>0.11720330013637374</v>
      </c>
      <c r="AI233" s="65"/>
      <c r="AJ233" s="479" t="s">
        <v>1170</v>
      </c>
      <c r="AK233" s="520">
        <v>28423.58504645104</v>
      </c>
      <c r="AL233" s="520">
        <v>0</v>
      </c>
      <c r="AM233" s="520">
        <v>0</v>
      </c>
      <c r="AN233" s="269">
        <v>28423.58504645104</v>
      </c>
      <c r="AO233" s="114">
        <f t="shared" si="18"/>
        <v>0.2249449057932594</v>
      </c>
      <c r="AP233" s="445"/>
      <c r="AQ233" s="445"/>
      <c r="AR233" s="445"/>
      <c r="AS233" s="445"/>
      <c r="AT233" s="445"/>
      <c r="AU233" s="445"/>
      <c r="AV233" s="445"/>
      <c r="AW233" s="445"/>
      <c r="AX233" s="459"/>
    </row>
    <row r="234" spans="29:50" x14ac:dyDescent="0.25">
      <c r="AC234" s="535" t="s">
        <v>1169</v>
      </c>
      <c r="AD234" s="536">
        <v>22620.955952597076</v>
      </c>
      <c r="AE234" s="536">
        <v>1127.6445326635462</v>
      </c>
      <c r="AF234" s="536">
        <v>33.677637283515054</v>
      </c>
      <c r="AG234" s="272">
        <v>23782.278122544129</v>
      </c>
      <c r="AH234" s="537">
        <f>AG234/$AH$247</f>
        <v>6.6201595569784749E-2</v>
      </c>
      <c r="AI234" s="65"/>
      <c r="AJ234" s="479" t="s">
        <v>1168</v>
      </c>
      <c r="AK234" s="520">
        <v>27255.617771881625</v>
      </c>
      <c r="AL234" s="520">
        <v>0</v>
      </c>
      <c r="AM234" s="520">
        <v>289.34049015292186</v>
      </c>
      <c r="AN234" s="269">
        <v>27544.95826203455</v>
      </c>
      <c r="AO234" s="114">
        <f t="shared" si="18"/>
        <v>0.21799143321318176</v>
      </c>
      <c r="AP234" s="445"/>
      <c r="AQ234" s="445"/>
      <c r="AR234" s="445"/>
      <c r="AS234" s="445"/>
      <c r="AT234" s="445"/>
      <c r="AU234" s="445"/>
      <c r="AV234" s="445"/>
      <c r="AW234" s="445"/>
      <c r="AX234" s="459"/>
    </row>
    <row r="235" spans="29:50" x14ac:dyDescent="0.25">
      <c r="AC235" s="379" t="s">
        <v>1173</v>
      </c>
      <c r="AD235" s="520">
        <v>9375.0883725728308</v>
      </c>
      <c r="AE235" s="520">
        <v>0</v>
      </c>
      <c r="AF235" s="520">
        <v>0</v>
      </c>
      <c r="AG235" s="265">
        <v>9375.0883725728308</v>
      </c>
      <c r="AH235" s="114"/>
      <c r="AI235" s="65"/>
      <c r="AJ235" s="479" t="s">
        <v>1178</v>
      </c>
      <c r="AK235" s="520">
        <v>15735.94700513102</v>
      </c>
      <c r="AL235" s="520">
        <v>1461.7424347507826</v>
      </c>
      <c r="AM235" s="520">
        <v>0</v>
      </c>
      <c r="AN235" s="269">
        <v>17197.6894398818</v>
      </c>
      <c r="AO235" s="114">
        <f t="shared" si="18"/>
        <v>0.13610290976996117</v>
      </c>
      <c r="AP235" s="445"/>
      <c r="AQ235" s="445"/>
      <c r="AR235" s="445"/>
      <c r="AS235" s="445"/>
      <c r="AT235" s="445"/>
      <c r="AU235" s="445"/>
      <c r="AV235" s="445"/>
      <c r="AW235" s="445"/>
      <c r="AX235" s="459"/>
    </row>
    <row r="236" spans="29:50" x14ac:dyDescent="0.25">
      <c r="AC236" s="539" t="s">
        <v>1180</v>
      </c>
      <c r="AD236" s="520">
        <v>7559.9764701268941</v>
      </c>
      <c r="AE236" s="520">
        <v>0</v>
      </c>
      <c r="AF236" s="520">
        <v>0</v>
      </c>
      <c r="AG236" s="265">
        <v>7559.9764701268941</v>
      </c>
      <c r="AH236" s="114"/>
      <c r="AI236" s="65"/>
      <c r="AJ236" s="479" t="s">
        <v>1173</v>
      </c>
      <c r="AK236" s="520">
        <v>5639.0147018100588</v>
      </c>
      <c r="AL236" s="520">
        <v>2475.4333637437012</v>
      </c>
      <c r="AM236" s="520">
        <v>0</v>
      </c>
      <c r="AN236" s="269">
        <v>8114.44806555376</v>
      </c>
      <c r="AO236" s="114">
        <f t="shared" si="18"/>
        <v>6.4217928621153775E-2</v>
      </c>
      <c r="AP236" s="445"/>
      <c r="AQ236" s="445"/>
      <c r="AR236" s="445"/>
      <c r="AS236" s="445"/>
      <c r="AT236" s="445"/>
      <c r="AU236" s="445"/>
      <c r="AV236" s="445"/>
      <c r="AW236" s="445"/>
      <c r="AX236" s="459"/>
    </row>
    <row r="237" spans="29:50" x14ac:dyDescent="0.25">
      <c r="AC237" s="538" t="s">
        <v>1178</v>
      </c>
      <c r="AD237" s="536">
        <v>4356.4854746913661</v>
      </c>
      <c r="AE237" s="536">
        <v>674.45703377343852</v>
      </c>
      <c r="AF237" s="536">
        <v>0</v>
      </c>
      <c r="AG237" s="272">
        <v>5030.9425084648065</v>
      </c>
      <c r="AH237" s="537">
        <f>AG237/$AH$247</f>
        <v>1.400439518720911E-2</v>
      </c>
      <c r="AI237" s="65"/>
      <c r="AJ237" s="479" t="s">
        <v>1171</v>
      </c>
      <c r="AK237" s="520">
        <v>5199.748082625083</v>
      </c>
      <c r="AL237" s="520">
        <v>0</v>
      </c>
      <c r="AM237" s="520">
        <v>1288.6969999999999</v>
      </c>
      <c r="AN237" s="269">
        <v>6488.4450826250832</v>
      </c>
      <c r="AO237" s="114">
        <f t="shared" si="18"/>
        <v>5.1349703616577196E-2</v>
      </c>
      <c r="AP237" s="445"/>
      <c r="AQ237" s="445"/>
      <c r="AR237" s="445"/>
      <c r="AS237" s="445"/>
      <c r="AT237" s="445"/>
      <c r="AU237" s="445"/>
      <c r="AV237" s="445"/>
      <c r="AW237" s="445"/>
      <c r="AX237" s="459"/>
    </row>
    <row r="238" spans="29:50" x14ac:dyDescent="0.25">
      <c r="AC238" s="379" t="s">
        <v>1171</v>
      </c>
      <c r="AD238" s="520">
        <v>3369.6444170175837</v>
      </c>
      <c r="AE238" s="520">
        <v>0</v>
      </c>
      <c r="AF238" s="520">
        <v>0</v>
      </c>
      <c r="AG238" s="265">
        <v>3369.6444170175819</v>
      </c>
      <c r="AH238" s="114"/>
      <c r="AI238" s="65"/>
      <c r="AJ238" s="479" t="s">
        <v>1181</v>
      </c>
      <c r="AK238" s="520">
        <v>3441.0163653973768</v>
      </c>
      <c r="AL238" s="520">
        <v>0</v>
      </c>
      <c r="AM238" s="520">
        <v>0</v>
      </c>
      <c r="AN238" s="269">
        <v>3441.0163653973768</v>
      </c>
      <c r="AO238" s="114">
        <f t="shared" si="18"/>
        <v>2.7232282658306788E-2</v>
      </c>
      <c r="AP238" s="445"/>
      <c r="AQ238" s="445"/>
      <c r="AR238" s="445"/>
      <c r="AS238" s="445"/>
      <c r="AT238" s="445"/>
      <c r="AU238" s="445"/>
      <c r="AV238" s="445"/>
      <c r="AW238" s="445"/>
      <c r="AX238" s="459"/>
    </row>
    <row r="239" spans="29:50" x14ac:dyDescent="0.25">
      <c r="AC239" s="379" t="s">
        <v>1172</v>
      </c>
      <c r="AD239" s="520">
        <v>1426.8617243050026</v>
      </c>
      <c r="AE239" s="520">
        <v>0</v>
      </c>
      <c r="AF239" s="520">
        <v>0</v>
      </c>
      <c r="AG239" s="265">
        <v>1426.8617243050026</v>
      </c>
      <c r="AH239" s="114"/>
      <c r="AI239" s="65"/>
      <c r="AJ239" s="479" t="s">
        <v>1180</v>
      </c>
      <c r="AK239" s="520">
        <v>2527.237640618494</v>
      </c>
      <c r="AL239" s="520">
        <v>0</v>
      </c>
      <c r="AM239" s="520">
        <v>0</v>
      </c>
      <c r="AN239" s="269">
        <v>2527.237640618494</v>
      </c>
      <c r="AO239" s="114">
        <f t="shared" si="18"/>
        <v>2.0000616813714976E-2</v>
      </c>
      <c r="AP239" s="445"/>
      <c r="AQ239" s="445"/>
      <c r="AR239" s="445"/>
      <c r="AS239" s="445"/>
      <c r="AT239" s="445"/>
      <c r="AU239" s="445"/>
      <c r="AV239" s="445"/>
      <c r="AW239" s="445"/>
      <c r="AX239" s="459"/>
    </row>
    <row r="240" spans="29:50" x14ac:dyDescent="0.25">
      <c r="AC240" s="535" t="s">
        <v>1174</v>
      </c>
      <c r="AD240" s="536">
        <v>599.22467405849898</v>
      </c>
      <c r="AE240" s="536">
        <v>0</v>
      </c>
      <c r="AF240" s="536">
        <v>0</v>
      </c>
      <c r="AG240" s="272">
        <v>599.22467405849898</v>
      </c>
      <c r="AH240" s="537">
        <f>AG240/$AH$247</f>
        <v>1.6680332019939033E-3</v>
      </c>
      <c r="AI240" s="65"/>
      <c r="AJ240" s="479" t="s">
        <v>1179</v>
      </c>
      <c r="AK240" s="520">
        <v>1682.2318424528971</v>
      </c>
      <c r="AL240" s="520">
        <v>0</v>
      </c>
      <c r="AM240" s="520">
        <v>16.477686882710081</v>
      </c>
      <c r="AN240" s="269">
        <v>1698.7095293356072</v>
      </c>
      <c r="AO240" s="114">
        <f t="shared" si="18"/>
        <v>1.3443626285074164E-2</v>
      </c>
      <c r="AP240" s="445"/>
      <c r="AQ240" s="445"/>
      <c r="AR240" s="445"/>
      <c r="AS240" s="445"/>
      <c r="AT240" s="445"/>
      <c r="AU240" s="445"/>
      <c r="AV240" s="445"/>
      <c r="AW240" s="445"/>
      <c r="AX240" s="459"/>
    </row>
    <row r="241" spans="29:50" x14ac:dyDescent="0.25">
      <c r="AC241" s="379" t="s">
        <v>1175</v>
      </c>
      <c r="AD241" s="520">
        <v>440.39385739281192</v>
      </c>
      <c r="AE241" s="520">
        <v>0</v>
      </c>
      <c r="AF241" s="520">
        <v>0</v>
      </c>
      <c r="AG241" s="265">
        <v>440.39385739281192</v>
      </c>
      <c r="AH241" s="114"/>
      <c r="AI241" s="65"/>
      <c r="AJ241" s="479" t="s">
        <v>1172</v>
      </c>
      <c r="AK241" s="520">
        <v>1663.4622786361865</v>
      </c>
      <c r="AL241" s="520">
        <v>0</v>
      </c>
      <c r="AM241" s="520">
        <v>0</v>
      </c>
      <c r="AN241" s="269">
        <v>1663.4622786361865</v>
      </c>
      <c r="AO241" s="114">
        <f t="shared" si="18"/>
        <v>1.3164678732360628E-2</v>
      </c>
      <c r="AP241" s="445"/>
      <c r="AQ241" s="445"/>
      <c r="AR241" s="445"/>
      <c r="AS241" s="445"/>
      <c r="AT241" s="445"/>
      <c r="AU241" s="445"/>
      <c r="AV241" s="445"/>
      <c r="AW241" s="445"/>
      <c r="AX241" s="459"/>
    </row>
    <row r="242" spans="29:50" x14ac:dyDescent="0.25">
      <c r="AC242" s="539" t="s">
        <v>1182</v>
      </c>
      <c r="AD242" s="520">
        <v>383.87766353024227</v>
      </c>
      <c r="AE242" s="520">
        <v>0</v>
      </c>
      <c r="AF242" s="520">
        <v>0</v>
      </c>
      <c r="AG242" s="265">
        <v>383.87766353024227</v>
      </c>
      <c r="AH242" s="114"/>
      <c r="AI242" s="65"/>
      <c r="AJ242" s="479" t="s">
        <v>1174</v>
      </c>
      <c r="AK242" s="520">
        <v>375.94327958485849</v>
      </c>
      <c r="AL242" s="520">
        <v>0</v>
      </c>
      <c r="AM242" s="520">
        <v>0</v>
      </c>
      <c r="AN242" s="269">
        <v>375.94327958485843</v>
      </c>
      <c r="AO242" s="114">
        <f t="shared" si="18"/>
        <v>2.9752237612399252E-3</v>
      </c>
      <c r="AP242" s="445"/>
      <c r="AQ242" s="445"/>
      <c r="AR242" s="445"/>
      <c r="AS242" s="445"/>
      <c r="AT242" s="445"/>
      <c r="AU242" s="445"/>
      <c r="AV242" s="445"/>
      <c r="AW242" s="445"/>
      <c r="AX242" s="459"/>
    </row>
    <row r="243" spans="29:50" x14ac:dyDescent="0.25">
      <c r="AC243" s="379" t="s">
        <v>1177</v>
      </c>
      <c r="AD243" s="520">
        <v>273.57433864998029</v>
      </c>
      <c r="AE243" s="520">
        <v>0</v>
      </c>
      <c r="AF243" s="520">
        <v>0</v>
      </c>
      <c r="AG243" s="265">
        <v>273.57433864998029</v>
      </c>
      <c r="AH243" s="114"/>
      <c r="AI243" s="65"/>
      <c r="AJ243" s="479" t="s">
        <v>1176</v>
      </c>
      <c r="AK243" s="520">
        <v>80.965649118675486</v>
      </c>
      <c r="AL243" s="520">
        <v>0</v>
      </c>
      <c r="AM243" s="520">
        <v>0</v>
      </c>
      <c r="AN243" s="269">
        <v>80.965649118675486</v>
      </c>
      <c r="AO243" s="114">
        <f t="shared" si="18"/>
        <v>6.4076400931572847E-4</v>
      </c>
      <c r="AP243" s="445"/>
      <c r="AQ243" s="445"/>
      <c r="AR243" s="445"/>
      <c r="AS243" s="445"/>
      <c r="AT243" s="445"/>
      <c r="AU243" s="445"/>
      <c r="AV243" s="445"/>
      <c r="AW243" s="445"/>
      <c r="AX243" s="459"/>
    </row>
    <row r="244" spans="29:50" x14ac:dyDescent="0.25">
      <c r="AC244" s="535" t="s">
        <v>1170</v>
      </c>
      <c r="AD244" s="536">
        <v>0</v>
      </c>
      <c r="AE244" s="536">
        <v>0</v>
      </c>
      <c r="AF244" s="536">
        <v>8.8645303308155761</v>
      </c>
      <c r="AG244" s="272">
        <v>8.8645303308148868</v>
      </c>
      <c r="AH244" s="537">
        <f>AG244/$AH$247</f>
        <v>2.4675771128940067E-5</v>
      </c>
      <c r="AI244" s="65"/>
      <c r="AJ244" s="479" t="s">
        <v>1177</v>
      </c>
      <c r="AK244" s="520">
        <v>73.127204069960385</v>
      </c>
      <c r="AL244" s="520">
        <v>0</v>
      </c>
      <c r="AM244" s="520">
        <v>0</v>
      </c>
      <c r="AN244" s="269">
        <v>73.127204069960385</v>
      </c>
      <c r="AO244" s="114">
        <f t="shared" si="18"/>
        <v>5.7873037491783903E-4</v>
      </c>
      <c r="AP244" s="445"/>
      <c r="AQ244" s="445"/>
      <c r="AR244" s="445"/>
      <c r="AS244" s="445"/>
      <c r="AT244" s="445"/>
      <c r="AU244" s="445"/>
      <c r="AV244" s="445"/>
      <c r="AW244" s="445"/>
      <c r="AX244" s="459"/>
    </row>
    <row r="245" spans="29:50" x14ac:dyDescent="0.25">
      <c r="AC245" s="379" t="s">
        <v>1176</v>
      </c>
      <c r="AD245" s="520">
        <v>0</v>
      </c>
      <c r="AE245" s="520">
        <v>0</v>
      </c>
      <c r="AF245" s="520">
        <v>0</v>
      </c>
      <c r="AG245" s="265">
        <v>0</v>
      </c>
      <c r="AH245" s="114"/>
      <c r="AI245" s="65"/>
      <c r="AJ245" s="479" t="s">
        <v>1182</v>
      </c>
      <c r="AK245" s="520">
        <v>67.730016423458622</v>
      </c>
      <c r="AL245" s="520">
        <v>0</v>
      </c>
      <c r="AM245" s="520">
        <v>0</v>
      </c>
      <c r="AN245" s="269">
        <v>67.730016423458622</v>
      </c>
      <c r="AO245" s="114">
        <f t="shared" si="18"/>
        <v>5.3601690774940142E-4</v>
      </c>
      <c r="AP245" s="445"/>
      <c r="AQ245" s="445"/>
      <c r="AR245" s="445"/>
      <c r="AS245" s="445"/>
      <c r="AT245" s="445"/>
      <c r="AU245" s="445"/>
      <c r="AV245" s="445"/>
      <c r="AW245" s="445"/>
      <c r="AX245" s="459"/>
    </row>
    <row r="246" spans="29:50" x14ac:dyDescent="0.25">
      <c r="AC246" s="539" t="s">
        <v>1179</v>
      </c>
      <c r="AD246" s="520">
        <v>0</v>
      </c>
      <c r="AE246" s="520">
        <v>0</v>
      </c>
      <c r="AF246" s="520">
        <v>0</v>
      </c>
      <c r="AG246" s="265">
        <v>0</v>
      </c>
      <c r="AH246" s="114"/>
      <c r="AI246" s="65"/>
      <c r="AJ246" s="479" t="s">
        <v>1175</v>
      </c>
      <c r="AK246" s="520">
        <v>8.7882224662907085</v>
      </c>
      <c r="AL246" s="520">
        <v>0</v>
      </c>
      <c r="AM246" s="520">
        <v>0</v>
      </c>
      <c r="AN246" s="269">
        <v>8.7882224662907085</v>
      </c>
      <c r="AO246" s="114">
        <f t="shared" si="18"/>
        <v>6.9550194725235756E-5</v>
      </c>
      <c r="AP246" s="445"/>
      <c r="AQ246" s="445"/>
      <c r="AR246" s="445"/>
      <c r="AS246" s="445"/>
      <c r="AT246" s="445"/>
      <c r="AU246" s="445"/>
      <c r="AV246" s="445"/>
      <c r="AW246" s="445"/>
      <c r="AX246" s="459"/>
    </row>
    <row r="247" spans="29:50" x14ac:dyDescent="0.25">
      <c r="AC247" s="540"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5"/>
      <c r="AP247" s="445"/>
      <c r="AQ247" s="445"/>
      <c r="AR247" s="445"/>
      <c r="AS247" s="445"/>
      <c r="AT247" s="445"/>
      <c r="AU247" s="445"/>
      <c r="AV247" s="445"/>
      <c r="AW247" s="445"/>
      <c r="AX247" s="459"/>
    </row>
    <row r="248" spans="29:50" x14ac:dyDescent="0.25">
      <c r="AC248" s="487"/>
      <c r="AD248" s="65"/>
      <c r="AE248" s="65"/>
      <c r="AF248" s="65"/>
      <c r="AG248" s="65"/>
      <c r="AH248" s="65"/>
      <c r="AI248" s="65"/>
      <c r="AJ248" s="65"/>
      <c r="AK248" s="65"/>
      <c r="AL248" s="65"/>
      <c r="AM248" s="65"/>
      <c r="AN248" s="65"/>
      <c r="AO248" s="445"/>
      <c r="AP248" s="445"/>
      <c r="AQ248" s="445"/>
      <c r="AR248" s="445"/>
      <c r="AS248" s="445"/>
      <c r="AT248" s="445"/>
      <c r="AU248" s="445"/>
      <c r="AV248" s="445"/>
      <c r="AW248" s="445"/>
      <c r="AX248" s="459"/>
    </row>
    <row r="249" spans="29:50" ht="15.75" x14ac:dyDescent="0.25">
      <c r="AC249" s="533" t="s">
        <v>1189</v>
      </c>
      <c r="AD249" s="65"/>
      <c r="AE249" s="65"/>
      <c r="AF249" s="65"/>
      <c r="AG249" s="534" t="s">
        <v>1196</v>
      </c>
      <c r="AH249" s="65"/>
      <c r="AI249" s="65"/>
      <c r="AJ249" s="65"/>
      <c r="AK249" s="65"/>
      <c r="AL249" s="65"/>
      <c r="AM249" s="65"/>
      <c r="AN249" s="65"/>
      <c r="AO249" s="445"/>
      <c r="AP249" s="445"/>
      <c r="AQ249" s="445"/>
      <c r="AR249" s="445"/>
      <c r="AS249" s="445"/>
      <c r="AT249" s="445"/>
      <c r="AU249" s="445"/>
      <c r="AV249" s="445"/>
      <c r="AW249" s="445"/>
      <c r="AX249" s="459"/>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5"/>
      <c r="AP250" s="445"/>
      <c r="AQ250" s="445"/>
      <c r="AR250" s="445"/>
      <c r="AS250" s="445"/>
      <c r="AT250" s="445"/>
      <c r="AU250" s="445"/>
      <c r="AV250" s="445"/>
      <c r="AW250" s="445"/>
      <c r="AX250" s="459"/>
    </row>
    <row r="251" spans="29:50" ht="15.75" thickTop="1" x14ac:dyDescent="0.25">
      <c r="AC251" s="487" t="s">
        <v>1190</v>
      </c>
      <c r="AD251" s="65">
        <v>47</v>
      </c>
      <c r="AE251" s="65">
        <v>186</v>
      </c>
      <c r="AF251" s="65"/>
      <c r="AG251" s="445" t="s">
        <v>1190</v>
      </c>
      <c r="AH251" s="65">
        <v>45</v>
      </c>
      <c r="AI251" s="65">
        <v>340</v>
      </c>
      <c r="AJ251" s="65"/>
      <c r="AK251" s="65"/>
      <c r="AL251" s="65"/>
      <c r="AM251" s="65"/>
      <c r="AN251" s="65"/>
      <c r="AO251" s="445"/>
      <c r="AP251" s="445"/>
      <c r="AQ251" s="445"/>
      <c r="AR251" s="445"/>
      <c r="AS251" s="445"/>
      <c r="AT251" s="445"/>
      <c r="AU251" s="445"/>
      <c r="AV251" s="445"/>
      <c r="AW251" s="445"/>
      <c r="AX251" s="459"/>
    </row>
    <row r="252" spans="29:50" x14ac:dyDescent="0.25">
      <c r="AC252" s="487" t="s">
        <v>1191</v>
      </c>
      <c r="AD252" s="65">
        <v>21</v>
      </c>
      <c r="AE252" s="65">
        <v>66</v>
      </c>
      <c r="AF252" s="65"/>
      <c r="AG252" s="445" t="s">
        <v>1191</v>
      </c>
      <c r="AH252" s="65">
        <v>23</v>
      </c>
      <c r="AI252" s="65">
        <v>206</v>
      </c>
      <c r="AJ252" s="65"/>
      <c r="AK252" s="65"/>
      <c r="AL252" s="65"/>
      <c r="AM252" s="65"/>
      <c r="AN252" s="65"/>
      <c r="AO252" s="445"/>
      <c r="AP252" s="445"/>
      <c r="AQ252" s="445"/>
      <c r="AR252" s="445"/>
      <c r="AS252" s="445"/>
      <c r="AT252" s="445"/>
      <c r="AU252" s="445"/>
      <c r="AV252" s="445"/>
      <c r="AW252" s="445"/>
      <c r="AX252" s="459"/>
    </row>
    <row r="253" spans="29:50" x14ac:dyDescent="0.25">
      <c r="AC253" s="487" t="s">
        <v>982</v>
      </c>
      <c r="AD253" s="65">
        <v>0</v>
      </c>
      <c r="AE253" s="65">
        <v>1</v>
      </c>
      <c r="AF253" s="65"/>
      <c r="AG253" s="445" t="s">
        <v>982</v>
      </c>
      <c r="AH253" s="65">
        <v>1</v>
      </c>
      <c r="AI253" s="65">
        <v>62</v>
      </c>
      <c r="AJ253" s="65"/>
      <c r="AK253" s="65"/>
      <c r="AL253" s="65"/>
      <c r="AM253" s="65"/>
      <c r="AN253" s="65"/>
      <c r="AO253" s="445"/>
      <c r="AP253" s="445"/>
      <c r="AQ253" s="445"/>
      <c r="AR253" s="445"/>
      <c r="AS253" s="445"/>
      <c r="AT253" s="445"/>
      <c r="AU253" s="445"/>
      <c r="AV253" s="445"/>
      <c r="AW253" s="445"/>
      <c r="AX253" s="459"/>
    </row>
    <row r="254" spans="29:50" x14ac:dyDescent="0.25">
      <c r="AC254" s="487" t="s">
        <v>1192</v>
      </c>
      <c r="AD254" s="65">
        <v>4</v>
      </c>
      <c r="AE254" s="65">
        <v>7</v>
      </c>
      <c r="AF254" s="65"/>
      <c r="AG254" s="445" t="s">
        <v>1192</v>
      </c>
      <c r="AH254" s="65">
        <v>16</v>
      </c>
      <c r="AI254" s="65">
        <v>17</v>
      </c>
      <c r="AJ254" s="65"/>
      <c r="AK254" s="65"/>
      <c r="AL254" s="65"/>
      <c r="AM254" s="65"/>
      <c r="AN254" s="65"/>
      <c r="AO254" s="445"/>
      <c r="AP254" s="445"/>
      <c r="AQ254" s="445"/>
      <c r="AR254" s="445"/>
      <c r="AS254" s="445"/>
      <c r="AT254" s="445"/>
      <c r="AU254" s="445"/>
      <c r="AV254" s="445"/>
      <c r="AW254" s="445"/>
      <c r="AX254" s="459"/>
    </row>
    <row r="255" spans="29:50" x14ac:dyDescent="0.25">
      <c r="AC255" s="487" t="s">
        <v>1193</v>
      </c>
      <c r="AD255" s="65">
        <v>2</v>
      </c>
      <c r="AE255" s="65">
        <v>3</v>
      </c>
      <c r="AF255" s="65"/>
      <c r="AG255" s="445" t="s">
        <v>1193</v>
      </c>
      <c r="AH255" s="65">
        <v>4</v>
      </c>
      <c r="AI255" s="65">
        <v>70</v>
      </c>
      <c r="AJ255" s="65"/>
      <c r="AK255" s="65"/>
      <c r="AL255" s="65"/>
      <c r="AM255" s="65"/>
      <c r="AN255" s="65"/>
      <c r="AO255" s="445"/>
      <c r="AP255" s="445"/>
      <c r="AQ255" s="445"/>
      <c r="AR255" s="445"/>
      <c r="AS255" s="445"/>
      <c r="AT255" s="445"/>
      <c r="AU255" s="445"/>
      <c r="AV255" s="445"/>
      <c r="AW255" s="445"/>
      <c r="AX255" s="459"/>
    </row>
    <row r="256" spans="29:50" x14ac:dyDescent="0.25">
      <c r="AC256" s="487" t="s">
        <v>1194</v>
      </c>
      <c r="AD256" s="65">
        <v>26</v>
      </c>
      <c r="AE256" s="65">
        <v>72</v>
      </c>
      <c r="AF256" s="65"/>
      <c r="AG256" s="445" t="s">
        <v>1194</v>
      </c>
      <c r="AH256" s="65">
        <v>37</v>
      </c>
      <c r="AI256" s="65">
        <v>48</v>
      </c>
      <c r="AJ256" s="65"/>
      <c r="AK256" s="65"/>
      <c r="AL256" s="65"/>
      <c r="AM256" s="65"/>
      <c r="AN256" s="65"/>
      <c r="AO256" s="445"/>
      <c r="AP256" s="445"/>
      <c r="AQ256" s="445"/>
      <c r="AR256" s="445"/>
      <c r="AS256" s="445"/>
      <c r="AT256" s="445"/>
      <c r="AU256" s="445"/>
      <c r="AV256" s="445"/>
      <c r="AW256" s="445"/>
      <c r="AX256" s="459"/>
    </row>
    <row r="257" spans="29:50" x14ac:dyDescent="0.25">
      <c r="AC257" s="487" t="s">
        <v>1195</v>
      </c>
      <c r="AD257" s="65">
        <v>22</v>
      </c>
      <c r="AE257" s="65">
        <v>61</v>
      </c>
      <c r="AF257" s="65"/>
      <c r="AG257" s="445" t="s">
        <v>1195</v>
      </c>
      <c r="AH257" s="65">
        <v>29</v>
      </c>
      <c r="AI257" s="65">
        <v>87</v>
      </c>
      <c r="AJ257" s="65"/>
      <c r="AK257" s="65"/>
      <c r="AL257" s="65"/>
      <c r="AM257" s="65"/>
      <c r="AN257" s="65"/>
      <c r="AO257" s="445"/>
      <c r="AP257" s="445"/>
      <c r="AQ257" s="445"/>
      <c r="AR257" s="445"/>
      <c r="AS257" s="445"/>
      <c r="AT257" s="445"/>
      <c r="AU257" s="445"/>
      <c r="AV257" s="445"/>
      <c r="AW257" s="445"/>
      <c r="AX257" s="459"/>
    </row>
    <row r="258" spans="29:50" ht="15.75" thickBot="1" x14ac:dyDescent="0.3">
      <c r="AC258" s="541" t="s">
        <v>248</v>
      </c>
      <c r="AD258" s="542">
        <f>SUM(AD251:AD257)</f>
        <v>122</v>
      </c>
      <c r="AE258" s="542">
        <v>396</v>
      </c>
      <c r="AF258" s="480"/>
      <c r="AG258" s="543" t="s">
        <v>248</v>
      </c>
      <c r="AH258" s="542">
        <f>SUM(AH251:AH257)</f>
        <v>155</v>
      </c>
      <c r="AI258" s="542">
        <v>830</v>
      </c>
      <c r="AJ258" s="480"/>
      <c r="AK258" s="480"/>
      <c r="AL258" s="480"/>
      <c r="AM258" s="480"/>
      <c r="AN258" s="480"/>
      <c r="AO258" s="465"/>
      <c r="AP258" s="465"/>
      <c r="AQ258" s="465"/>
      <c r="AR258" s="465"/>
      <c r="AS258" s="465"/>
      <c r="AT258" s="465"/>
      <c r="AU258" s="465"/>
      <c r="AV258" s="465"/>
      <c r="AW258" s="465"/>
      <c r="AX258" s="544"/>
    </row>
    <row r="259" spans="29:50" x14ac:dyDescent="0.25">
      <c r="AX259" s="445"/>
    </row>
    <row r="260" spans="29:50" x14ac:dyDescent="0.25">
      <c r="AX260" s="445"/>
    </row>
    <row r="261" spans="29:50" x14ac:dyDescent="0.25">
      <c r="AX261" s="445"/>
    </row>
    <row r="262" spans="29:50" x14ac:dyDescent="0.25">
      <c r="AC262" s="13"/>
      <c r="AH262" s="3"/>
      <c r="AI262" s="3"/>
      <c r="AJ262" s="3"/>
      <c r="AK262" s="3"/>
      <c r="AL262" s="3"/>
      <c r="AM262" s="3"/>
      <c r="AN262" s="3"/>
      <c r="AX262" s="445"/>
    </row>
    <row r="263" spans="29:50" ht="16.5" thickBot="1" x14ac:dyDescent="0.3">
      <c r="AC263" s="481" t="s">
        <v>1987</v>
      </c>
      <c r="AD263" s="372"/>
      <c r="AE263" s="760"/>
      <c r="AF263" s="371"/>
      <c r="AG263" s="371"/>
      <c r="AH263" s="371"/>
      <c r="AI263" s="371"/>
      <c r="AJ263" s="371"/>
      <c r="AK263" s="371"/>
      <c r="AL263" s="371"/>
      <c r="AM263" s="371"/>
      <c r="AN263" s="371"/>
      <c r="AX263" s="445"/>
    </row>
    <row r="264" spans="29:50" ht="15.75" thickBot="1" x14ac:dyDescent="0.3">
      <c r="AC264" s="364" t="s">
        <v>1988</v>
      </c>
      <c r="AD264" s="365" t="s">
        <v>1999</v>
      </c>
      <c r="AE264" s="21" t="s">
        <v>95</v>
      </c>
      <c r="AF264" s="21" t="s">
        <v>1995</v>
      </c>
      <c r="AG264" s="21" t="s">
        <v>1998</v>
      </c>
      <c r="AH264" s="21" t="s">
        <v>2000</v>
      </c>
      <c r="AI264" s="21" t="s">
        <v>1997</v>
      </c>
      <c r="AJ264" s="21" t="s">
        <v>1996</v>
      </c>
      <c r="AK264" s="364" t="s">
        <v>1993</v>
      </c>
      <c r="AL264" s="364" t="s">
        <v>1991</v>
      </c>
      <c r="AM264" s="364" t="s">
        <v>1994</v>
      </c>
      <c r="AN264" s="364" t="s">
        <v>1992</v>
      </c>
      <c r="AX264" s="445"/>
    </row>
    <row r="265" spans="29:50" ht="15.75" thickTop="1" x14ac:dyDescent="0.25">
      <c r="AC265" s="12" t="s">
        <v>1989</v>
      </c>
      <c r="AD265" s="366">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5"/>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5"/>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5"/>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5"/>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5"/>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5"/>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5"/>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5"/>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5"/>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5"/>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1990</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7"/>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1990</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3" t="s">
        <v>2971</v>
      </c>
      <c r="O1" s="821" t="s">
        <v>4086</v>
      </c>
      <c r="P1" s="70"/>
      <c r="Q1" s="295"/>
      <c r="R1" s="295"/>
      <c r="T1" s="821" t="s">
        <v>4616</v>
      </c>
      <c r="U1" s="70"/>
      <c r="V1" s="70"/>
      <c r="W1" s="70"/>
      <c r="X1" s="70"/>
      <c r="Y1" s="70"/>
      <c r="Z1" s="295"/>
    </row>
    <row r="2" spans="1:58" ht="15.75" thickBot="1" x14ac:dyDescent="0.3">
      <c r="A2" s="232" t="s">
        <v>225</v>
      </c>
      <c r="B2" s="88" t="s">
        <v>1310</v>
      </c>
      <c r="C2" s="88" t="s">
        <v>1311</v>
      </c>
      <c r="D2" s="88" t="s">
        <v>2852</v>
      </c>
      <c r="E2" s="88" t="s">
        <v>2853</v>
      </c>
      <c r="F2" s="88" t="s">
        <v>2854</v>
      </c>
      <c r="G2" s="88" t="s">
        <v>2855</v>
      </c>
      <c r="H2" s="88" t="s">
        <v>1312</v>
      </c>
      <c r="I2" s="88" t="s">
        <v>1313</v>
      </c>
      <c r="J2" s="88" t="s">
        <v>1314</v>
      </c>
      <c r="K2" s="88" t="s">
        <v>1315</v>
      </c>
      <c r="L2" s="88" t="s">
        <v>1316</v>
      </c>
      <c r="M2" s="378" t="s">
        <v>1317</v>
      </c>
      <c r="O2" s="232" t="s">
        <v>1091</v>
      </c>
      <c r="P2" s="88" t="s">
        <v>4247</v>
      </c>
      <c r="Q2" s="88" t="s">
        <v>4611</v>
      </c>
      <c r="R2" s="378" t="s">
        <v>4610</v>
      </c>
      <c r="T2" s="232" t="s">
        <v>1091</v>
      </c>
      <c r="U2" s="88" t="s">
        <v>4613</v>
      </c>
      <c r="V2" s="88" t="s">
        <v>4614</v>
      </c>
      <c r="W2" s="88" t="s">
        <v>4615</v>
      </c>
      <c r="X2" s="88" t="s">
        <v>4617</v>
      </c>
      <c r="Y2" s="88" t="s">
        <v>4618</v>
      </c>
      <c r="Z2" s="378" t="s">
        <v>4619</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5">
        <v>247</v>
      </c>
      <c r="V3" s="955">
        <v>2107</v>
      </c>
      <c r="W3" s="955">
        <v>69230</v>
      </c>
      <c r="X3" s="982">
        <f t="shared" ref="X3:X10" si="1">ROUND(U3*CAD2021_to_2020/1000, 6)</f>
        <v>0.229404</v>
      </c>
      <c r="Y3" s="982">
        <f t="shared" ref="Y3:Z10" si="2">ROUND(V3*CAD2021_to_2020/1000000, 6)</f>
        <v>1.957E-3</v>
      </c>
      <c r="Z3" s="983">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5">
        <v>252</v>
      </c>
      <c r="V4" s="955">
        <v>2203</v>
      </c>
      <c r="W4" s="955">
        <v>70797</v>
      </c>
      <c r="X4" s="982">
        <f t="shared" si="1"/>
        <v>0.23404800000000001</v>
      </c>
      <c r="Y4" s="982">
        <f t="shared" si="2"/>
        <v>2.0460000000000001E-3</v>
      </c>
      <c r="Z4" s="983">
        <f t="shared" si="2"/>
        <v>6.5754000000000007E-2</v>
      </c>
    </row>
    <row r="5" spans="1:58" x14ac:dyDescent="0.25">
      <c r="O5" s="64">
        <v>2025</v>
      </c>
      <c r="P5" s="71">
        <v>95</v>
      </c>
      <c r="Q5" s="60">
        <f t="shared" si="0"/>
        <v>87.662138037114659</v>
      </c>
      <c r="R5" s="66">
        <f t="shared" si="3"/>
        <v>8.7662138037114659E-2</v>
      </c>
      <c r="T5" s="64">
        <v>2025</v>
      </c>
      <c r="U5" s="955">
        <v>271</v>
      </c>
      <c r="V5" s="955">
        <v>2589</v>
      </c>
      <c r="W5" s="955">
        <v>77066</v>
      </c>
      <c r="X5" s="982">
        <f t="shared" si="1"/>
        <v>0.251695</v>
      </c>
      <c r="Y5" s="982">
        <f t="shared" si="2"/>
        <v>2.405E-3</v>
      </c>
      <c r="Z5" s="983">
        <f t="shared" si="2"/>
        <v>7.1576000000000001E-2</v>
      </c>
    </row>
    <row r="6" spans="1:58" ht="15.75" x14ac:dyDescent="0.25">
      <c r="A6" s="763" t="s">
        <v>2972</v>
      </c>
      <c r="O6" s="64">
        <v>2030</v>
      </c>
      <c r="P6" s="71">
        <v>170</v>
      </c>
      <c r="Q6" s="60">
        <f t="shared" si="0"/>
        <v>141.87240846717287</v>
      </c>
      <c r="R6" s="66">
        <f t="shared" si="3"/>
        <v>0.14187240846717286</v>
      </c>
      <c r="T6" s="64">
        <v>2030</v>
      </c>
      <c r="U6" s="955">
        <v>294</v>
      </c>
      <c r="V6" s="955">
        <v>3073</v>
      </c>
      <c r="W6" s="955">
        <v>84903</v>
      </c>
      <c r="X6" s="982">
        <f t="shared" si="1"/>
        <v>0.27305600000000002</v>
      </c>
      <c r="Y6" s="982">
        <f t="shared" si="2"/>
        <v>2.8540000000000002E-3</v>
      </c>
      <c r="Z6" s="983">
        <f t="shared" si="2"/>
        <v>7.8854999999999995E-2</v>
      </c>
    </row>
    <row r="7" spans="1:58" ht="15.75" thickBot="1" x14ac:dyDescent="0.3">
      <c r="A7" s="88" t="s">
        <v>225</v>
      </c>
      <c r="B7" s="88" t="s">
        <v>1310</v>
      </c>
      <c r="C7" s="88" t="s">
        <v>1311</v>
      </c>
      <c r="D7" s="88" t="s">
        <v>2852</v>
      </c>
      <c r="E7" s="88" t="s">
        <v>2853</v>
      </c>
      <c r="F7" s="88" t="s">
        <v>2854</v>
      </c>
      <c r="G7" s="88" t="s">
        <v>2855</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5">
        <v>317</v>
      </c>
      <c r="V7" s="955">
        <v>3634</v>
      </c>
      <c r="W7" s="955">
        <v>92894</v>
      </c>
      <c r="X7" s="982">
        <f t="shared" si="1"/>
        <v>0.29441800000000001</v>
      </c>
      <c r="Y7" s="982">
        <f t="shared" si="2"/>
        <v>3.375E-3</v>
      </c>
      <c r="Z7" s="983">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5">
        <v>341</v>
      </c>
      <c r="V8" s="955">
        <v>4194</v>
      </c>
      <c r="W8" s="955">
        <v>100886</v>
      </c>
      <c r="X8" s="982">
        <f t="shared" si="1"/>
        <v>0.31670799999999999</v>
      </c>
      <c r="Y8" s="982">
        <f t="shared" si="2"/>
        <v>3.895E-3</v>
      </c>
      <c r="Z8" s="983">
        <f t="shared" si="2"/>
        <v>9.3699000000000005E-2</v>
      </c>
    </row>
    <row r="9" spans="1:58" x14ac:dyDescent="0.25">
      <c r="O9" s="64">
        <v>2045</v>
      </c>
      <c r="P9" s="71">
        <v>170</v>
      </c>
      <c r="Q9" s="60">
        <f t="shared" si="0"/>
        <v>104.9493230751745</v>
      </c>
      <c r="R9" s="66">
        <f t="shared" si="3"/>
        <v>0.1049493230751745</v>
      </c>
      <c r="T9" s="64">
        <v>2045</v>
      </c>
      <c r="U9" s="955">
        <v>367</v>
      </c>
      <c r="V9" s="955">
        <v>4803</v>
      </c>
      <c r="W9" s="955">
        <v>109902</v>
      </c>
      <c r="X9" s="982">
        <f t="shared" si="1"/>
        <v>0.34085599999999999</v>
      </c>
      <c r="Y9" s="982">
        <f t="shared" si="2"/>
        <v>4.4609999999999997E-3</v>
      </c>
      <c r="Z9" s="983">
        <f t="shared" si="2"/>
        <v>0.102073</v>
      </c>
    </row>
    <row r="10" spans="1:58" ht="16.5" thickBot="1" x14ac:dyDescent="0.3">
      <c r="A10" s="763" t="s">
        <v>2856</v>
      </c>
      <c r="O10" s="67">
        <v>2050</v>
      </c>
      <c r="P10" s="822">
        <v>170</v>
      </c>
      <c r="Q10" s="954">
        <f>P10/(1+$Q$11)^(O10-2021)</f>
        <v>94.916170644523461</v>
      </c>
      <c r="R10" s="69">
        <f t="shared" si="3"/>
        <v>9.4916170644523457E-2</v>
      </c>
      <c r="T10" s="67">
        <v>2050</v>
      </c>
      <c r="U10" s="956">
        <v>394</v>
      </c>
      <c r="V10" s="956">
        <v>5410</v>
      </c>
      <c r="W10" s="956">
        <v>118919</v>
      </c>
      <c r="X10" s="984">
        <f t="shared" si="1"/>
        <v>0.36593199999999998</v>
      </c>
      <c r="Y10" s="984">
        <f t="shared" si="2"/>
        <v>5.025E-3</v>
      </c>
      <c r="Z10" s="985">
        <f t="shared" si="2"/>
        <v>0.110447</v>
      </c>
      <c r="BD10" s="955"/>
      <c r="BE10" s="955"/>
      <c r="BF10" s="955"/>
    </row>
    <row r="11" spans="1:58" ht="15.75" thickBot="1" x14ac:dyDescent="0.3">
      <c r="A11" s="232" t="s">
        <v>225</v>
      </c>
      <c r="B11" s="88" t="s">
        <v>1310</v>
      </c>
      <c r="C11" s="88" t="s">
        <v>1311</v>
      </c>
      <c r="D11" s="88" t="s">
        <v>2852</v>
      </c>
      <c r="E11" s="88" t="s">
        <v>2853</v>
      </c>
      <c r="F11" s="88" t="s">
        <v>2854</v>
      </c>
      <c r="G11" s="88" t="s">
        <v>2855</v>
      </c>
      <c r="H11" s="88" t="s">
        <v>1312</v>
      </c>
      <c r="I11" s="88" t="s">
        <v>1313</v>
      </c>
      <c r="J11" s="88" t="s">
        <v>1314</v>
      </c>
      <c r="K11" s="88" t="s">
        <v>1315</v>
      </c>
      <c r="L11" s="88" t="s">
        <v>1316</v>
      </c>
      <c r="M11" s="378" t="s">
        <v>1317</v>
      </c>
      <c r="O11" s="1039" t="s">
        <v>4612</v>
      </c>
      <c r="P11" s="1039"/>
      <c r="Q11" s="1140">
        <v>2.0299999999999999E-2</v>
      </c>
      <c r="R11" s="1140"/>
      <c r="BD11" s="955"/>
      <c r="BE11" s="955"/>
      <c r="BF11" s="955"/>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5"/>
      <c r="BE13" s="955"/>
      <c r="BF13" s="955"/>
    </row>
    <row r="14" spans="1:58" ht="15.75" x14ac:dyDescent="0.25">
      <c r="T14" s="159"/>
      <c r="U14" s="159"/>
      <c r="BD14" s="955"/>
      <c r="BE14" s="955"/>
      <c r="BF14" s="955"/>
    </row>
    <row r="15" spans="1:58" ht="15.75" x14ac:dyDescent="0.25">
      <c r="A15" s="763" t="s">
        <v>2857</v>
      </c>
      <c r="T15" s="28"/>
      <c r="U15" s="28"/>
      <c r="V15" s="28"/>
      <c r="BD15" s="955"/>
      <c r="BE15" s="955"/>
      <c r="BF15" s="955"/>
    </row>
    <row r="16" spans="1:58" ht="15.75" thickBot="1" x14ac:dyDescent="0.3">
      <c r="A16" s="88" t="s">
        <v>225</v>
      </c>
      <c r="B16" s="88" t="s">
        <v>1310</v>
      </c>
      <c r="C16" s="88" t="s">
        <v>1311</v>
      </c>
      <c r="D16" s="88" t="s">
        <v>2852</v>
      </c>
      <c r="E16" s="88" t="s">
        <v>2853</v>
      </c>
      <c r="F16" s="88" t="s">
        <v>2854</v>
      </c>
      <c r="G16" s="88" t="s">
        <v>2855</v>
      </c>
      <c r="H16" s="88" t="s">
        <v>1312</v>
      </c>
      <c r="I16" s="88" t="s">
        <v>1313</v>
      </c>
      <c r="J16" s="88" t="s">
        <v>1314</v>
      </c>
      <c r="K16" s="88" t="s">
        <v>1315</v>
      </c>
      <c r="L16" s="88" t="s">
        <v>1316</v>
      </c>
      <c r="M16" s="88" t="s">
        <v>1317</v>
      </c>
      <c r="U16" s="6"/>
      <c r="V16" s="6"/>
      <c r="BD16" s="955"/>
      <c r="BE16" s="955"/>
      <c r="BF16" s="955"/>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5"/>
      <c r="U18" s="6"/>
      <c r="V18" s="6"/>
    </row>
    <row r="19" spans="1:51" x14ac:dyDescent="0.25">
      <c r="A19" s="285" t="s">
        <v>2700</v>
      </c>
    </row>
    <row r="20" spans="1:51" ht="15.75" x14ac:dyDescent="0.25">
      <c r="A20" s="159" t="s">
        <v>2759</v>
      </c>
    </row>
    <row r="21" spans="1:51" ht="105.75" thickBot="1" x14ac:dyDescent="0.3">
      <c r="A21" s="88" t="s">
        <v>1091</v>
      </c>
      <c r="B21" s="758" t="s">
        <v>2715</v>
      </c>
      <c r="C21" s="758" t="s">
        <v>2716</v>
      </c>
      <c r="D21" s="758" t="s">
        <v>2717</v>
      </c>
      <c r="E21" s="758" t="s">
        <v>2709</v>
      </c>
      <c r="F21" s="758" t="s">
        <v>2710</v>
      </c>
      <c r="G21" s="758" t="s">
        <v>2718</v>
      </c>
      <c r="H21" s="758" t="s">
        <v>2719</v>
      </c>
      <c r="I21" s="758" t="s">
        <v>2720</v>
      </c>
      <c r="J21" s="758" t="s">
        <v>2721</v>
      </c>
      <c r="K21" s="758" t="s">
        <v>2722</v>
      </c>
      <c r="L21" s="758" t="s">
        <v>2723</v>
      </c>
      <c r="M21" s="758" t="s">
        <v>2724</v>
      </c>
      <c r="N21" s="758" t="s">
        <v>2725</v>
      </c>
      <c r="O21" s="758" t="s">
        <v>2726</v>
      </c>
      <c r="P21" s="758" t="s">
        <v>2727</v>
      </c>
      <c r="Q21" s="758" t="s">
        <v>2728</v>
      </c>
      <c r="R21" s="758" t="s">
        <v>2729</v>
      </c>
      <c r="S21" s="758" t="s">
        <v>2730</v>
      </c>
      <c r="T21" s="758" t="s">
        <v>2731</v>
      </c>
      <c r="U21" s="758" t="s">
        <v>2732</v>
      </c>
      <c r="V21" s="758" t="s">
        <v>2711</v>
      </c>
      <c r="W21" s="758" t="s">
        <v>2712</v>
      </c>
      <c r="X21" s="758" t="s">
        <v>2733</v>
      </c>
      <c r="Y21" s="758" t="s">
        <v>2734</v>
      </c>
      <c r="Z21" s="758" t="s">
        <v>2735</v>
      </c>
      <c r="AA21" s="758" t="s">
        <v>2736</v>
      </c>
      <c r="AB21" s="758" t="s">
        <v>2737</v>
      </c>
      <c r="AC21" s="758" t="s">
        <v>2738</v>
      </c>
      <c r="AD21" s="758" t="s">
        <v>2739</v>
      </c>
      <c r="AE21" s="758" t="s">
        <v>2740</v>
      </c>
      <c r="AF21" s="758" t="s">
        <v>2741</v>
      </c>
      <c r="AG21" s="758" t="s">
        <v>2713</v>
      </c>
      <c r="AH21" s="758" t="s">
        <v>2742</v>
      </c>
      <c r="AI21" s="758" t="s">
        <v>2743</v>
      </c>
      <c r="AJ21" s="758" t="s">
        <v>2744</v>
      </c>
      <c r="AK21" s="758" t="s">
        <v>2745</v>
      </c>
      <c r="AL21" s="758" t="s">
        <v>2746</v>
      </c>
      <c r="AM21" s="758" t="s">
        <v>2747</v>
      </c>
      <c r="AN21" s="758" t="s">
        <v>2714</v>
      </c>
      <c r="AO21" s="758" t="s">
        <v>2748</v>
      </c>
      <c r="AP21" s="758" t="s">
        <v>2749</v>
      </c>
      <c r="AQ21" s="758" t="s">
        <v>2750</v>
      </c>
      <c r="AR21" s="758" t="s">
        <v>2751</v>
      </c>
      <c r="AS21" s="758" t="s">
        <v>2752</v>
      </c>
      <c r="AT21" s="758" t="s">
        <v>2753</v>
      </c>
      <c r="AU21" s="758" t="s">
        <v>2754</v>
      </c>
      <c r="AV21" s="758" t="s">
        <v>2755</v>
      </c>
      <c r="AW21" s="758" t="s">
        <v>2756</v>
      </c>
      <c r="AX21" s="758" t="s">
        <v>2757</v>
      </c>
      <c r="AY21" s="758" t="s">
        <v>2758</v>
      </c>
    </row>
    <row r="22" spans="1:51" ht="15.75" thickTop="1" x14ac:dyDescent="0.25">
      <c r="A22">
        <v>2010</v>
      </c>
      <c r="B22" s="60">
        <v>0.50395635160722096</v>
      </c>
      <c r="C22" s="60">
        <v>0.61899999999999999</v>
      </c>
      <c r="D22" s="60">
        <v>2.5393612459847399E-2</v>
      </c>
      <c r="E22" s="114">
        <v>6.6789895255699297E-2</v>
      </c>
      <c r="F22" s="752">
        <v>0.9332101047443</v>
      </c>
      <c r="G22" s="60">
        <v>0.625416257688584</v>
      </c>
      <c r="H22" s="71">
        <v>85.139178661032602</v>
      </c>
      <c r="I22">
        <v>87</v>
      </c>
      <c r="J22" s="60">
        <v>5.8210808014090704E-3</v>
      </c>
      <c r="K22" s="73">
        <v>0.151348100836635</v>
      </c>
      <c r="L22" s="60">
        <v>0.60889147619797201</v>
      </c>
      <c r="M22" s="60">
        <v>0.61899999999999999</v>
      </c>
      <c r="N22" s="759">
        <v>-1.6524781490612098E-2</v>
      </c>
      <c r="O22" s="759">
        <v>-6.4162576885842702E-3</v>
      </c>
      <c r="P22" s="259">
        <v>-8.6749191234367098E-2</v>
      </c>
      <c r="Q22" s="259">
        <v>0.21102851605581599</v>
      </c>
      <c r="R22" s="60">
        <v>6.9500000000000006E-2</v>
      </c>
      <c r="S22">
        <v>0.1</v>
      </c>
      <c r="T22">
        <v>0.14699999999999999</v>
      </c>
      <c r="U22">
        <v>0</v>
      </c>
      <c r="V22" s="442">
        <v>0.05</v>
      </c>
      <c r="W22" s="442">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2">
        <v>0.924251793222854</v>
      </c>
      <c r="G23" s="60">
        <v>0.79006710017123605</v>
      </c>
      <c r="H23" s="71">
        <v>84.869137619589196</v>
      </c>
      <c r="I23">
        <v>87</v>
      </c>
      <c r="J23" s="60">
        <v>7.5124622192866497E-3</v>
      </c>
      <c r="K23" s="73">
        <v>0.195324017701453</v>
      </c>
      <c r="L23" s="60">
        <v>0.76878788925193997</v>
      </c>
      <c r="M23" s="60">
        <v>0.78358333333333297</v>
      </c>
      <c r="N23" s="759">
        <v>-2.1279210919295799E-2</v>
      </c>
      <c r="O23" s="759">
        <v>-6.4837668379033502E-3</v>
      </c>
      <c r="P23" s="259">
        <v>-5.3867469095713903E-2</v>
      </c>
      <c r="Q23" s="259">
        <v>0.38327929683168499</v>
      </c>
      <c r="R23" s="60">
        <v>6.9583333333333303E-2</v>
      </c>
      <c r="S23">
        <v>0.1</v>
      </c>
      <c r="T23">
        <v>0.14699999999999999</v>
      </c>
      <c r="U23">
        <v>0</v>
      </c>
      <c r="V23" s="442">
        <v>0.11</v>
      </c>
      <c r="W23" s="442">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2">
        <v>0.923879680785758</v>
      </c>
      <c r="G24" s="60">
        <v>0.82545071728556696</v>
      </c>
      <c r="H24" s="71">
        <v>84.857807308970095</v>
      </c>
      <c r="I24">
        <v>87</v>
      </c>
      <c r="J24" s="60">
        <v>1.2861626904447299E-2</v>
      </c>
      <c r="K24" s="73">
        <v>0.33440229951563</v>
      </c>
      <c r="L24" s="60">
        <v>0.78571185688155998</v>
      </c>
      <c r="M24" s="60">
        <v>0.81116666666666604</v>
      </c>
      <c r="N24" s="759">
        <v>-3.9738860404006801E-2</v>
      </c>
      <c r="O24" s="759">
        <v>-1.42840506189005E-2</v>
      </c>
      <c r="P24" s="259">
        <v>-0.57065240976295994</v>
      </c>
      <c r="Q24" s="259">
        <v>0.181529681497303</v>
      </c>
      <c r="R24" s="60">
        <v>6.3E-2</v>
      </c>
      <c r="S24">
        <v>0.1</v>
      </c>
      <c r="T24">
        <v>0.14699999999999999</v>
      </c>
      <c r="U24">
        <v>0</v>
      </c>
      <c r="V24" s="442">
        <v>0.13</v>
      </c>
      <c r="W24" s="442">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2">
        <v>0.92431455257607698</v>
      </c>
      <c r="G25" s="60">
        <v>0.825676312220328</v>
      </c>
      <c r="H25" s="71">
        <v>84.871047656300902</v>
      </c>
      <c r="I25">
        <v>87</v>
      </c>
      <c r="J25" s="60">
        <v>1.37942977542932E-2</v>
      </c>
      <c r="K25" s="73">
        <v>0.358651741611625</v>
      </c>
      <c r="L25" s="60">
        <v>0.78527194913342102</v>
      </c>
      <c r="M25" s="60">
        <v>0.81241666666666601</v>
      </c>
      <c r="N25" s="759">
        <v>-4.04043630869063E-2</v>
      </c>
      <c r="O25" s="759">
        <v>-1.32596455536613E-2</v>
      </c>
      <c r="P25" s="259">
        <v>-0.59351619971332903</v>
      </c>
      <c r="Q25" s="259">
        <v>0.20848590315898899</v>
      </c>
      <c r="R25" s="60">
        <v>7.3499999999999996E-2</v>
      </c>
      <c r="S25">
        <v>0.1</v>
      </c>
      <c r="T25">
        <v>0.14699999999999999</v>
      </c>
      <c r="U25">
        <v>0</v>
      </c>
      <c r="V25" s="442">
        <v>0.13</v>
      </c>
      <c r="W25" s="442">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2">
        <v>0.92191044776119402</v>
      </c>
      <c r="G26" s="60">
        <v>0.82231596669731999</v>
      </c>
      <c r="H26" s="71">
        <v>84.797694599145103</v>
      </c>
      <c r="I26">
        <v>87</v>
      </c>
      <c r="J26" s="60">
        <v>1.52126785557023E-2</v>
      </c>
      <c r="K26" s="73">
        <v>0.39552964244826</v>
      </c>
      <c r="L26" s="60">
        <v>0.77852993399070602</v>
      </c>
      <c r="M26" s="60">
        <v>0.80941666666666601</v>
      </c>
      <c r="N26" s="759">
        <v>-4.3786032706613597E-2</v>
      </c>
      <c r="O26" s="759">
        <v>-1.28993000306538E-2</v>
      </c>
      <c r="P26" s="259">
        <v>-0.67742583506519205</v>
      </c>
      <c r="Q26" s="259">
        <v>0.235867495220736</v>
      </c>
      <c r="R26" s="60">
        <v>8.0166666666666594E-2</v>
      </c>
      <c r="S26">
        <v>0.1</v>
      </c>
      <c r="T26">
        <v>0.14699999999999999</v>
      </c>
      <c r="U26">
        <v>0</v>
      </c>
      <c r="V26" s="442">
        <v>0.13</v>
      </c>
      <c r="W26" s="442">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2">
        <v>0.92079147640791403</v>
      </c>
      <c r="G27" s="60">
        <v>0.61261479223498805</v>
      </c>
      <c r="H27" s="71">
        <v>84.763422375033002</v>
      </c>
      <c r="I27">
        <v>87</v>
      </c>
      <c r="J27" s="60">
        <v>1.7423908234258E-2</v>
      </c>
      <c r="K27" s="73">
        <v>0.45302161409070901</v>
      </c>
      <c r="L27" s="60">
        <v>0.57078349345923796</v>
      </c>
      <c r="M27" s="60">
        <v>0.60666666666666602</v>
      </c>
      <c r="N27" s="759">
        <v>-4.1831298775749898E-2</v>
      </c>
      <c r="O27" s="759">
        <v>-5.9481255683214102E-3</v>
      </c>
      <c r="P27" s="259">
        <v>-0.77074060242876097</v>
      </c>
      <c r="Q27" s="259">
        <v>0.290689232566815</v>
      </c>
      <c r="R27" s="60">
        <v>9.0416666666666604E-2</v>
      </c>
      <c r="S27">
        <v>0.1</v>
      </c>
      <c r="T27">
        <v>0.14699999999999999</v>
      </c>
      <c r="U27">
        <v>0</v>
      </c>
      <c r="V27" s="442">
        <v>0.13</v>
      </c>
      <c r="W27" s="442">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2">
        <v>0.92389990328820104</v>
      </c>
      <c r="G28" s="60">
        <v>0.55466548396245396</v>
      </c>
      <c r="H28" s="71">
        <v>84.858423290807906</v>
      </c>
      <c r="I28">
        <v>87</v>
      </c>
      <c r="J28" s="60">
        <v>1.25452524438573E-2</v>
      </c>
      <c r="K28" s="73">
        <v>0.32617656354029101</v>
      </c>
      <c r="L28" s="60">
        <v>0.53051126530279402</v>
      </c>
      <c r="M28" s="60">
        <v>0.55533333333333301</v>
      </c>
      <c r="N28" s="759">
        <v>-2.41542186596597E-2</v>
      </c>
      <c r="O28" s="759">
        <v>6.6784937087861697E-4</v>
      </c>
      <c r="P28" s="259">
        <v>-0.30825096630523602</v>
      </c>
      <c r="Q28" s="259">
        <v>0.425228848964182</v>
      </c>
      <c r="R28" s="60">
        <v>9.4416666666666593E-2</v>
      </c>
      <c r="S28">
        <v>0.1</v>
      </c>
      <c r="T28">
        <v>0.14699999999999999</v>
      </c>
      <c r="U28">
        <v>0</v>
      </c>
      <c r="V28" s="442">
        <v>0.13</v>
      </c>
      <c r="W28" s="442">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2">
        <v>0.92310434989303503</v>
      </c>
      <c r="G29" s="60">
        <v>0.67076996415254497</v>
      </c>
      <c r="H29" s="71">
        <v>84.834170207287201</v>
      </c>
      <c r="I29">
        <v>87</v>
      </c>
      <c r="J29" s="60">
        <v>1.42875183179216E-2</v>
      </c>
      <c r="K29" s="73">
        <v>0.371475476265961</v>
      </c>
      <c r="L29" s="60">
        <v>0.63226848508706701</v>
      </c>
      <c r="M29" s="60">
        <v>0.66083333333333305</v>
      </c>
      <c r="N29" s="759">
        <v>-3.8501479065477899E-2</v>
      </c>
      <c r="O29" s="759">
        <v>-9.9366308192125694E-3</v>
      </c>
      <c r="P29" s="259">
        <v>-0.64236993089734495</v>
      </c>
      <c r="Q29" s="259">
        <v>0.20193109118875499</v>
      </c>
      <c r="R29" s="60">
        <v>9.7499999999999906E-2</v>
      </c>
      <c r="S29">
        <v>0.1</v>
      </c>
      <c r="T29">
        <v>0.14699999999999999</v>
      </c>
      <c r="U29">
        <v>0</v>
      </c>
      <c r="V29" s="442">
        <v>0.13</v>
      </c>
      <c r="W29" s="442">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2">
        <v>0.92023357664233496</v>
      </c>
      <c r="G30" s="60">
        <v>0.78474703054194295</v>
      </c>
      <c r="H30" s="71">
        <v>84.746303699473302</v>
      </c>
      <c r="I30">
        <v>87</v>
      </c>
      <c r="J30" s="60">
        <v>1.2716369440774899E-2</v>
      </c>
      <c r="K30" s="73">
        <v>0.33062560546014902</v>
      </c>
      <c r="L30" s="60">
        <v>0.73554384464864797</v>
      </c>
      <c r="M30" s="60">
        <v>0.76191666666666602</v>
      </c>
      <c r="N30" s="759">
        <v>-4.9203185893295302E-2</v>
      </c>
      <c r="O30" s="759">
        <v>-2.2830363875276899E-2</v>
      </c>
      <c r="P30" s="259">
        <v>-0.85363577151896497</v>
      </c>
      <c r="Q30" s="259">
        <v>-7.3378342666810495E-2</v>
      </c>
      <c r="R30" s="60">
        <v>0.115333333333333</v>
      </c>
      <c r="S30">
        <v>0.1</v>
      </c>
      <c r="T30">
        <v>0.14699999999999999</v>
      </c>
      <c r="U30">
        <v>0</v>
      </c>
      <c r="V30" s="442">
        <v>0.13</v>
      </c>
      <c r="W30" s="442">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2">
        <v>0.91761876127480402</v>
      </c>
      <c r="G31" s="60">
        <v>0.69229541791722404</v>
      </c>
      <c r="H31" s="71">
        <v>84.665792922673603</v>
      </c>
      <c r="I31">
        <v>87</v>
      </c>
      <c r="J31" s="60">
        <v>1.9458122853368499E-2</v>
      </c>
      <c r="K31" s="73">
        <v>0.50591119418758201</v>
      </c>
      <c r="L31" s="60">
        <v>0.63698907580455</v>
      </c>
      <c r="M31" s="60">
        <v>0.67866666666666597</v>
      </c>
      <c r="N31" s="759">
        <v>-5.5306342112674003E-2</v>
      </c>
      <c r="O31" s="759">
        <v>-1.36287512505581E-2</v>
      </c>
      <c r="P31" s="259">
        <v>-1.0886711277883501</v>
      </c>
      <c r="Q31" s="259">
        <v>0.14546507982498799</v>
      </c>
      <c r="R31" s="60">
        <v>8.0250000000000002E-2</v>
      </c>
      <c r="S31">
        <v>0.1</v>
      </c>
      <c r="T31">
        <v>0.14699999999999999</v>
      </c>
      <c r="U31">
        <v>3.3149999999999999E-2</v>
      </c>
      <c r="V31" s="442">
        <v>0.13</v>
      </c>
      <c r="W31" s="442">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2">
        <v>0.90714285714285703</v>
      </c>
      <c r="G32" s="60">
        <v>0.50739932324564196</v>
      </c>
      <c r="H32" s="71">
        <v>84.338582677165306</v>
      </c>
      <c r="I32">
        <v>87</v>
      </c>
      <c r="J32" s="60">
        <v>1.1158957727873099E-2</v>
      </c>
      <c r="K32" s="73">
        <v>0.29013290092470301</v>
      </c>
      <c r="L32" s="60">
        <v>0.47772575443794402</v>
      </c>
      <c r="M32" s="60">
        <v>0.50466666666666604</v>
      </c>
      <c r="N32" s="759">
        <v>-2.9673568807697798E-2</v>
      </c>
      <c r="O32" s="759">
        <v>-2.7326565789754001E-3</v>
      </c>
      <c r="P32" s="259">
        <v>-0.426602449466294</v>
      </c>
      <c r="Q32" s="259">
        <v>0.37396004614719902</v>
      </c>
      <c r="R32" s="60">
        <v>7.1749999999999994E-2</v>
      </c>
      <c r="S32">
        <v>0.1</v>
      </c>
      <c r="T32">
        <v>0.14699999999999999</v>
      </c>
      <c r="U32">
        <v>6.0774999999999899E-2</v>
      </c>
      <c r="V32" s="442">
        <v>0.13</v>
      </c>
      <c r="W32" s="442">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2">
        <v>0.91034482758620605</v>
      </c>
      <c r="G33" s="60">
        <v>0.77154254412941303</v>
      </c>
      <c r="H33" s="71">
        <v>84.439393939393895</v>
      </c>
      <c r="I33">
        <v>87</v>
      </c>
      <c r="J33" s="60">
        <v>9.4498383971818502E-3</v>
      </c>
      <c r="K33" s="73">
        <v>0.245695798326728</v>
      </c>
      <c r="L33" s="60">
        <v>0.745222100839672</v>
      </c>
      <c r="M33" s="60">
        <v>0.76724999999999999</v>
      </c>
      <c r="N33" s="759">
        <v>-2.6320443289741199E-2</v>
      </c>
      <c r="O33" s="759">
        <v>-4.2925441294138604E-3</v>
      </c>
      <c r="P33" s="259">
        <v>-0.113756961321966</v>
      </c>
      <c r="Q33" s="259">
        <v>0.54011108782009798</v>
      </c>
      <c r="R33" s="60">
        <v>6.8083333333333301E-2</v>
      </c>
      <c r="S33">
        <v>0.1</v>
      </c>
      <c r="T33">
        <v>0.14699999999999999</v>
      </c>
      <c r="U33">
        <v>8.2874999999999893E-2</v>
      </c>
      <c r="V33" s="442">
        <v>0.13</v>
      </c>
      <c r="W33" s="442">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2">
        <v>0.91034482758620605</v>
      </c>
      <c r="G34" s="60">
        <v>1.1042681308812501</v>
      </c>
      <c r="H34" s="71">
        <v>84.439393939393895</v>
      </c>
      <c r="I34">
        <v>87</v>
      </c>
      <c r="J34" s="60">
        <v>1.2370467257329799E-2</v>
      </c>
      <c r="K34" s="73">
        <v>0.32163214869057599</v>
      </c>
      <c r="L34" s="60">
        <v>1.05458068092199</v>
      </c>
      <c r="M34" s="60">
        <v>1.08341666666666</v>
      </c>
      <c r="N34" s="759">
        <v>-4.9687449959261602E-2</v>
      </c>
      <c r="O34" s="759">
        <v>-2.0851464214589201E-2</v>
      </c>
      <c r="P34" s="259">
        <v>-0.51950438395855003</v>
      </c>
      <c r="Q34" s="259">
        <v>0.33645240096787599</v>
      </c>
      <c r="R34" s="60">
        <v>8.2500000000000004E-2</v>
      </c>
      <c r="S34">
        <v>0.1</v>
      </c>
      <c r="T34">
        <v>0.10425</v>
      </c>
      <c r="U34">
        <v>0.104975</v>
      </c>
      <c r="V34" s="442">
        <v>0.13</v>
      </c>
      <c r="W34" s="442">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2761</v>
      </c>
    </row>
    <row r="37" spans="1:51" s="28" customFormat="1" ht="120.75" thickBot="1" x14ac:dyDescent="0.3">
      <c r="A37" s="88" t="s">
        <v>1091</v>
      </c>
      <c r="B37" s="758" t="s">
        <v>2762</v>
      </c>
      <c r="C37" s="758" t="s">
        <v>2763</v>
      </c>
      <c r="D37" s="758" t="s">
        <v>2764</v>
      </c>
      <c r="E37" s="758" t="s">
        <v>2801</v>
      </c>
      <c r="F37" s="758" t="s">
        <v>2717</v>
      </c>
      <c r="G37" s="758" t="s">
        <v>2765</v>
      </c>
      <c r="H37" s="758" t="s">
        <v>2760</v>
      </c>
      <c r="I37" s="758" t="s">
        <v>2766</v>
      </c>
      <c r="J37" s="758" t="s">
        <v>2767</v>
      </c>
      <c r="K37" s="758" t="s">
        <v>2768</v>
      </c>
      <c r="L37" s="758" t="s">
        <v>2769</v>
      </c>
      <c r="M37" s="758" t="s">
        <v>2711</v>
      </c>
      <c r="N37" s="758" t="s">
        <v>2712</v>
      </c>
      <c r="O37" s="758" t="s">
        <v>2770</v>
      </c>
      <c r="P37" s="758" t="s">
        <v>2771</v>
      </c>
      <c r="Q37" s="758" t="s">
        <v>2772</v>
      </c>
      <c r="R37" s="758" t="s">
        <v>2773</v>
      </c>
      <c r="S37" s="758" t="s">
        <v>2774</v>
      </c>
      <c r="T37" s="758" t="s">
        <v>2775</v>
      </c>
      <c r="U37" s="758" t="s">
        <v>2776</v>
      </c>
      <c r="V37" s="758" t="s">
        <v>2777</v>
      </c>
      <c r="W37" s="758" t="s">
        <v>2778</v>
      </c>
      <c r="X37" s="758" t="s">
        <v>2779</v>
      </c>
      <c r="Y37" s="758" t="s">
        <v>2780</v>
      </c>
      <c r="Z37" s="758" t="s">
        <v>2781</v>
      </c>
      <c r="AA37" s="758" t="s">
        <v>2782</v>
      </c>
      <c r="AB37" s="758" t="s">
        <v>2783</v>
      </c>
      <c r="AC37" s="758" t="s">
        <v>2784</v>
      </c>
      <c r="AD37" s="758" t="s">
        <v>2785</v>
      </c>
      <c r="AE37" s="758" t="s">
        <v>2786</v>
      </c>
      <c r="AF37" s="758" t="s">
        <v>2787</v>
      </c>
      <c r="AG37" s="758" t="s">
        <v>2788</v>
      </c>
      <c r="AH37" s="758" t="s">
        <v>2789</v>
      </c>
      <c r="AI37" s="758" t="s">
        <v>2790</v>
      </c>
      <c r="AJ37" s="758" t="s">
        <v>2791</v>
      </c>
      <c r="AK37" s="758" t="s">
        <v>2792</v>
      </c>
      <c r="AL37" s="758" t="s">
        <v>2793</v>
      </c>
      <c r="AM37" s="758" t="s">
        <v>2794</v>
      </c>
      <c r="AN37" s="758" t="s">
        <v>2795</v>
      </c>
      <c r="AO37" s="758" t="s">
        <v>2796</v>
      </c>
      <c r="AP37" s="758" t="s">
        <v>2797</v>
      </c>
      <c r="AQ37" s="758" t="s">
        <v>2798</v>
      </c>
      <c r="AR37" s="758" t="s">
        <v>2799</v>
      </c>
      <c r="AS37" s="758" t="s">
        <v>2800</v>
      </c>
    </row>
    <row r="38" spans="1:51" ht="15.75" thickTop="1" x14ac:dyDescent="0.25">
      <c r="A38">
        <v>2010</v>
      </c>
      <c r="B38" s="60">
        <v>0.63616666666666599</v>
      </c>
      <c r="C38" s="60">
        <v>0.63553362320020601</v>
      </c>
      <c r="D38" s="60">
        <v>0.62532894499471503</v>
      </c>
      <c r="E38" s="60">
        <v>1.27125411063742</v>
      </c>
      <c r="F38" s="60">
        <v>2.5393612459847399E-2</v>
      </c>
      <c r="G38" s="752">
        <v>5.1675350321716204E-3</v>
      </c>
      <c r="H38" s="30">
        <v>8.7232380827412996E-4</v>
      </c>
      <c r="I38" s="259">
        <v>0.11325</v>
      </c>
      <c r="J38">
        <v>0.04</v>
      </c>
      <c r="K38">
        <v>0.14299999999999999</v>
      </c>
      <c r="L38">
        <v>0</v>
      </c>
      <c r="M38" s="287">
        <v>0.05</v>
      </c>
      <c r="N38" s="287">
        <v>0</v>
      </c>
      <c r="O38" s="759">
        <v>4.6620833333333299E-2</v>
      </c>
      <c r="P38" s="759">
        <v>0</v>
      </c>
      <c r="Q38" s="759">
        <v>6.3304346645983302E-4</v>
      </c>
      <c r="R38" s="60">
        <v>16.446477748848501</v>
      </c>
      <c r="S38" s="60">
        <v>16.422057447033701</v>
      </c>
      <c r="T38" s="60">
        <v>2.4420301814766E-2</v>
      </c>
      <c r="U38" s="759">
        <v>0.229620833333333</v>
      </c>
      <c r="V38" s="759">
        <v>4.6589181160010297E-2</v>
      </c>
      <c r="W38" s="759">
        <v>0</v>
      </c>
      <c r="X38" s="759">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2">
        <v>5.0591121441164897E-3</v>
      </c>
      <c r="H39" s="30">
        <v>1.5967732559896901E-3</v>
      </c>
      <c r="I39" s="259">
        <v>0.12758333333333299</v>
      </c>
      <c r="J39">
        <v>0.04</v>
      </c>
      <c r="K39">
        <v>0.14299999999999999</v>
      </c>
      <c r="L39">
        <v>0</v>
      </c>
      <c r="M39" s="287">
        <v>0.11</v>
      </c>
      <c r="N39" s="287">
        <v>0</v>
      </c>
      <c r="O39" s="759">
        <v>0.12526499999999999</v>
      </c>
      <c r="P39" s="759">
        <v>0</v>
      </c>
      <c r="Q39" s="759">
        <v>3.24853327972541E-3</v>
      </c>
      <c r="R39" s="60">
        <v>21.232016950591099</v>
      </c>
      <c r="S39" s="60">
        <v>21.136988804141399</v>
      </c>
      <c r="T39" s="60">
        <v>9.50281464497129E-2</v>
      </c>
      <c r="U39" s="759">
        <v>0.30826500000000001</v>
      </c>
      <c r="V39" s="759">
        <v>0.12490981441236</v>
      </c>
      <c r="W39" s="759">
        <v>0</v>
      </c>
      <c r="X39" s="759">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2">
        <v>1.95286812637886E-3</v>
      </c>
      <c r="H40" s="30">
        <v>1.89707347000712E-3</v>
      </c>
      <c r="I40" s="259">
        <v>9.6999999999999906E-2</v>
      </c>
      <c r="J40">
        <v>0.04</v>
      </c>
      <c r="K40">
        <v>0.14299999999999999</v>
      </c>
      <c r="L40">
        <v>0</v>
      </c>
      <c r="M40" s="287">
        <v>0.13</v>
      </c>
      <c r="N40" s="287">
        <v>0</v>
      </c>
      <c r="O40" s="759">
        <v>0.14404</v>
      </c>
      <c r="P40" s="759">
        <v>0</v>
      </c>
      <c r="Q40" s="759">
        <v>1.15058543372008E-3</v>
      </c>
      <c r="R40" s="60">
        <v>21.401220638936099</v>
      </c>
      <c r="S40" s="60">
        <v>21.365617947449</v>
      </c>
      <c r="T40" s="60">
        <v>3.5602691487062701E-2</v>
      </c>
      <c r="U40" s="759">
        <v>0.32704</v>
      </c>
      <c r="V40" s="759">
        <v>0.143890423893616</v>
      </c>
      <c r="W40" s="759">
        <v>0</v>
      </c>
      <c r="X40" s="759">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2">
        <v>1.18173359580092E-3</v>
      </c>
      <c r="H41" s="30">
        <v>2.6337583699176399E-3</v>
      </c>
      <c r="I41" s="259">
        <v>7.5416666666666604E-2</v>
      </c>
      <c r="J41">
        <v>0.04</v>
      </c>
      <c r="K41">
        <v>0.14299999999999999</v>
      </c>
      <c r="L41">
        <v>0</v>
      </c>
      <c r="M41" s="287">
        <v>0.13</v>
      </c>
      <c r="N41" s="287">
        <v>0</v>
      </c>
      <c r="O41" s="759">
        <v>0.14469000000000001</v>
      </c>
      <c r="P41" s="759">
        <v>0</v>
      </c>
      <c r="Q41" s="759">
        <v>1.59918566528398E-3</v>
      </c>
      <c r="R41" s="60">
        <v>22.087789460661</v>
      </c>
      <c r="S41" s="60">
        <v>22.04093404827</v>
      </c>
      <c r="T41" s="60">
        <v>4.6855412391050601E-2</v>
      </c>
      <c r="U41" s="759">
        <v>0.32768999999999998</v>
      </c>
      <c r="V41" s="759">
        <v>0.14448210586351301</v>
      </c>
      <c r="W41" s="759">
        <v>0</v>
      </c>
      <c r="X41" s="759">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2">
        <v>7.8528906966698995E-4</v>
      </c>
      <c r="H42" s="30">
        <v>4.83971093033301E-3</v>
      </c>
      <c r="I42" s="259">
        <v>0.103916666666666</v>
      </c>
      <c r="J42">
        <v>0.04</v>
      </c>
      <c r="K42">
        <v>0.14299999999999999</v>
      </c>
      <c r="L42">
        <v>0</v>
      </c>
      <c r="M42" s="287">
        <v>0.13</v>
      </c>
      <c r="N42" s="287">
        <v>0</v>
      </c>
      <c r="O42" s="759">
        <v>0.15038833333333301</v>
      </c>
      <c r="P42" s="759">
        <v>0</v>
      </c>
      <c r="Q42" s="759">
        <v>1.6375852342609301E-3</v>
      </c>
      <c r="R42" s="60">
        <v>22.486159091314398</v>
      </c>
      <c r="S42" s="60">
        <v>22.4361519749975</v>
      </c>
      <c r="T42" s="60">
        <v>5.0007116316909198E-2</v>
      </c>
      <c r="U42" s="759">
        <v>0.33338833333333301</v>
      </c>
      <c r="V42" s="759">
        <v>0.15017544725287901</v>
      </c>
      <c r="W42" s="759">
        <v>0</v>
      </c>
      <c r="X42" s="759">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2">
        <v>1.5E-3</v>
      </c>
      <c r="H43" s="30">
        <v>6.0000000000000001E-3</v>
      </c>
      <c r="I43" s="259">
        <v>0.11033333333333301</v>
      </c>
      <c r="J43">
        <v>0.04</v>
      </c>
      <c r="K43">
        <v>0.14299999999999999</v>
      </c>
      <c r="L43">
        <v>0</v>
      </c>
      <c r="M43" s="287">
        <v>0.13</v>
      </c>
      <c r="N43" s="287">
        <v>0</v>
      </c>
      <c r="O43" s="759">
        <v>0.12403083333333299</v>
      </c>
      <c r="P43" s="759">
        <v>0</v>
      </c>
      <c r="Q43" s="759">
        <v>2.2373306736274599E-3</v>
      </c>
      <c r="R43" s="60">
        <v>17.0816545744321</v>
      </c>
      <c r="S43" s="60">
        <v>17.0158312487434</v>
      </c>
      <c r="T43" s="60">
        <v>6.5823325688718098E-2</v>
      </c>
      <c r="U43" s="759">
        <v>0.30703083333333298</v>
      </c>
      <c r="V43" s="759">
        <v>0.123739980345761</v>
      </c>
      <c r="W43" s="759">
        <v>0</v>
      </c>
      <c r="X43" s="759">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2">
        <v>3.2878600608361301E-3</v>
      </c>
      <c r="H44" s="30">
        <v>1.3151440243344499E-2</v>
      </c>
      <c r="I44" s="259">
        <v>8.4666666666666598E-2</v>
      </c>
      <c r="J44">
        <v>0.04</v>
      </c>
      <c r="K44">
        <v>0.14299999999999999</v>
      </c>
      <c r="L44">
        <v>0</v>
      </c>
      <c r="M44" s="287">
        <v>0.13</v>
      </c>
      <c r="N44" s="287">
        <v>0</v>
      </c>
      <c r="O44" s="759">
        <v>0.1079325</v>
      </c>
      <c r="P44" s="759">
        <v>0</v>
      </c>
      <c r="Q44" s="759">
        <v>8.6894848667102495E-3</v>
      </c>
      <c r="R44" s="60">
        <v>14.5519963037599</v>
      </c>
      <c r="S44" s="60">
        <v>14.3125025443571</v>
      </c>
      <c r="T44" s="60">
        <v>0.239493759402749</v>
      </c>
      <c r="U44" s="759">
        <v>0.29093249999999998</v>
      </c>
      <c r="V44" s="759">
        <v>0.10680286696732701</v>
      </c>
      <c r="W44" s="759">
        <v>0</v>
      </c>
      <c r="X44" s="759">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2">
        <v>6.1170330487059603E-3</v>
      </c>
      <c r="H45" s="30">
        <v>2.44681321948238E-2</v>
      </c>
      <c r="I45" s="259">
        <v>8.0750000000000002E-2</v>
      </c>
      <c r="J45">
        <v>0.04</v>
      </c>
      <c r="K45">
        <v>0.14299999999999999</v>
      </c>
      <c r="L45">
        <v>0</v>
      </c>
      <c r="M45" s="287">
        <v>0.13</v>
      </c>
      <c r="N45" s="287">
        <v>0</v>
      </c>
      <c r="O45" s="759">
        <v>0.124095833333333</v>
      </c>
      <c r="P45" s="759">
        <v>0</v>
      </c>
      <c r="Q45" s="759">
        <v>1.7289216518729601E-2</v>
      </c>
      <c r="R45" s="60">
        <v>17.885197050769602</v>
      </c>
      <c r="S45" s="60">
        <v>17.404240744563399</v>
      </c>
      <c r="T45" s="60">
        <v>0.480956306206199</v>
      </c>
      <c r="U45" s="759">
        <v>0.30709583333333301</v>
      </c>
      <c r="V45" s="759">
        <v>0.121848235185898</v>
      </c>
      <c r="W45" s="759">
        <v>0</v>
      </c>
      <c r="X45" s="759">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2">
        <v>6.4864864864864801E-3</v>
      </c>
      <c r="H46" s="30">
        <v>2.59459459459459E-2</v>
      </c>
      <c r="I46" s="259">
        <v>7.7249999999999999E-2</v>
      </c>
      <c r="J46">
        <v>0.04</v>
      </c>
      <c r="K46">
        <v>0.14299999999999999</v>
      </c>
      <c r="L46">
        <v>0</v>
      </c>
      <c r="M46" s="287">
        <v>0.13</v>
      </c>
      <c r="N46" s="287">
        <v>0</v>
      </c>
      <c r="O46" s="759">
        <v>0.14451666666666599</v>
      </c>
      <c r="P46" s="759">
        <v>0</v>
      </c>
      <c r="Q46" s="759">
        <v>1.5768723561137801E-2</v>
      </c>
      <c r="R46" s="60">
        <v>22.045139851102899</v>
      </c>
      <c r="S46" s="60">
        <v>21.592970106086</v>
      </c>
      <c r="T46" s="60">
        <v>0.45216974501689999</v>
      </c>
      <c r="U46" s="759">
        <v>0.32751666666666601</v>
      </c>
      <c r="V46" s="759">
        <v>0.142466732603718</v>
      </c>
      <c r="W46" s="759">
        <v>0</v>
      </c>
      <c r="X46" s="759">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2">
        <v>6.9252077562326798E-3</v>
      </c>
      <c r="H47" s="30">
        <v>2.7700831024930699E-2</v>
      </c>
      <c r="I47" s="259">
        <v>7.9166666666666594E-2</v>
      </c>
      <c r="J47">
        <v>0.04</v>
      </c>
      <c r="K47">
        <v>0.14299999999999999</v>
      </c>
      <c r="L47">
        <v>4.0500000000000001E-2</v>
      </c>
      <c r="M47" s="287">
        <v>0.13</v>
      </c>
      <c r="N47" s="287">
        <v>0</v>
      </c>
      <c r="O47" s="759">
        <v>0.136045</v>
      </c>
      <c r="P47" s="759">
        <v>0</v>
      </c>
      <c r="Q47" s="759">
        <v>2.2248736606100598E-2</v>
      </c>
      <c r="R47" s="60">
        <v>19.262206982797</v>
      </c>
      <c r="S47" s="60">
        <v>18.6455968146571</v>
      </c>
      <c r="T47" s="60">
        <v>0.61661016813988601</v>
      </c>
      <c r="U47" s="759">
        <v>0.359545</v>
      </c>
      <c r="V47" s="759">
        <v>0.133152664241206</v>
      </c>
      <c r="W47" s="759">
        <v>0</v>
      </c>
      <c r="X47" s="759">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2">
        <v>6.05187319884726E-3</v>
      </c>
      <c r="H48" s="30">
        <v>2.4207492795388998E-2</v>
      </c>
      <c r="I48" s="259">
        <v>9.5583333333333298E-2</v>
      </c>
      <c r="J48">
        <v>0.04</v>
      </c>
      <c r="K48">
        <v>0.14299999999999999</v>
      </c>
      <c r="L48">
        <v>7.3874999999999996E-2</v>
      </c>
      <c r="M48" s="287">
        <v>0.13</v>
      </c>
      <c r="N48" s="287">
        <v>0</v>
      </c>
      <c r="O48" s="759">
        <v>0.11594375</v>
      </c>
      <c r="P48" s="759">
        <v>0</v>
      </c>
      <c r="Q48" s="759">
        <v>2.6803809297045601E-2</v>
      </c>
      <c r="R48" s="60">
        <v>13.9648392570392</v>
      </c>
      <c r="S48" s="60">
        <v>13.2458102679488</v>
      </c>
      <c r="T48" s="60">
        <v>0.71902898909040702</v>
      </c>
      <c r="U48" s="759">
        <v>0.37281874999999998</v>
      </c>
      <c r="V48" s="759">
        <v>0.11245925479138399</v>
      </c>
      <c r="W48" s="759">
        <v>0</v>
      </c>
      <c r="X48" s="759">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2">
        <v>1.10526315789473E-2</v>
      </c>
      <c r="H49" s="30">
        <v>1.6578947368420999E-2</v>
      </c>
      <c r="I49" s="259">
        <v>6.8166666666666598E-2</v>
      </c>
      <c r="J49">
        <v>0.04</v>
      </c>
      <c r="K49">
        <v>0.14299999999999999</v>
      </c>
      <c r="L49">
        <v>0.10059999999999999</v>
      </c>
      <c r="M49" s="287">
        <v>0.13</v>
      </c>
      <c r="N49" s="287">
        <v>0</v>
      </c>
      <c r="O49" s="759">
        <v>0.14599216666666601</v>
      </c>
      <c r="P49" s="759">
        <v>0</v>
      </c>
      <c r="Q49" s="759">
        <v>3.0008936127260199E-2</v>
      </c>
      <c r="R49" s="60">
        <v>19.966576465362401</v>
      </c>
      <c r="S49" s="60">
        <v>19.153515862344602</v>
      </c>
      <c r="T49" s="60">
        <v>0.81306060301772898</v>
      </c>
      <c r="U49" s="759">
        <v>0.429592166666666</v>
      </c>
      <c r="V49" s="759">
        <v>0.142091004970122</v>
      </c>
      <c r="W49" s="759">
        <v>0</v>
      </c>
      <c r="X49" s="759">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2">
        <v>1.10526315789473E-2</v>
      </c>
      <c r="H50" s="30">
        <v>1.6578947368420999E-2</v>
      </c>
      <c r="I50" s="259">
        <v>8.5000000000000006E-2</v>
      </c>
      <c r="J50">
        <v>0.04</v>
      </c>
      <c r="K50">
        <v>0.10324999999999999</v>
      </c>
      <c r="L50">
        <v>0.12732499999999999</v>
      </c>
      <c r="M50" s="287">
        <v>0.13</v>
      </c>
      <c r="N50" s="287">
        <v>0</v>
      </c>
      <c r="O50" s="759">
        <v>0.22337141666666599</v>
      </c>
      <c r="P50" s="759">
        <v>0</v>
      </c>
      <c r="Q50" s="759">
        <v>2.80865295253022E-2</v>
      </c>
      <c r="R50" s="60">
        <v>35.277521162788297</v>
      </c>
      <c r="S50" s="60">
        <v>34.485274861533902</v>
      </c>
      <c r="T50" s="60">
        <v>0.79224630125440898</v>
      </c>
      <c r="U50" s="759">
        <v>0.493946416666666</v>
      </c>
      <c r="V50" s="759">
        <v>0.219720167828377</v>
      </c>
      <c r="W50" s="759">
        <v>0</v>
      </c>
      <c r="X50" s="759">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2828</v>
      </c>
      <c r="C52" s="53" t="s">
        <v>2826</v>
      </c>
      <c r="D52" s="1039" t="s">
        <v>2827</v>
      </c>
      <c r="E52" s="1039"/>
      <c r="F52" s="1039"/>
      <c r="G52" s="1039"/>
      <c r="H52" s="1039"/>
      <c r="I52" s="1039"/>
      <c r="J52" s="1039"/>
      <c r="K52" s="1039"/>
    </row>
    <row r="53" spans="1:45" ht="15.75" x14ac:dyDescent="0.25">
      <c r="A53" s="159" t="s">
        <v>2968</v>
      </c>
      <c r="C53" s="54"/>
    </row>
    <row r="54" spans="1:45" ht="15.75" thickBot="1" x14ac:dyDescent="0.3">
      <c r="A54" s="88" t="s">
        <v>225</v>
      </c>
      <c r="B54" s="88" t="s">
        <v>2810</v>
      </c>
      <c r="C54" s="761">
        <v>2021</v>
      </c>
      <c r="D54" s="88">
        <v>2022</v>
      </c>
      <c r="E54" s="88">
        <v>2025</v>
      </c>
      <c r="F54" s="88">
        <v>2030</v>
      </c>
      <c r="G54" s="88">
        <v>2035</v>
      </c>
      <c r="H54" s="88">
        <v>2040</v>
      </c>
      <c r="I54" s="88">
        <v>2045</v>
      </c>
      <c r="J54" s="88">
        <v>2050</v>
      </c>
      <c r="K54" s="88" t="s">
        <v>2811</v>
      </c>
    </row>
    <row r="55" spans="1:45" ht="15.75" thickTop="1" x14ac:dyDescent="0.25">
      <c r="A55" t="s">
        <v>2812</v>
      </c>
      <c r="C55" s="54"/>
    </row>
    <row r="56" spans="1:45" x14ac:dyDescent="0.25">
      <c r="A56" s="75" t="s">
        <v>25</v>
      </c>
      <c r="B56" t="s">
        <v>2813</v>
      </c>
      <c r="C56" s="782">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2814</v>
      </c>
      <c r="B57" t="s">
        <v>2813</v>
      </c>
      <c r="C57" s="782">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2813</v>
      </c>
      <c r="C58" s="782">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2813</v>
      </c>
      <c r="C59" s="782">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2815</v>
      </c>
      <c r="C60" s="782"/>
      <c r="D60" s="60"/>
      <c r="E60" s="60"/>
      <c r="F60" s="60"/>
      <c r="G60" s="60"/>
      <c r="H60" s="60"/>
      <c r="I60" s="60"/>
      <c r="J60" s="60"/>
      <c r="K60" s="85"/>
    </row>
    <row r="61" spans="1:45" x14ac:dyDescent="0.25">
      <c r="A61" s="75" t="s">
        <v>25</v>
      </c>
      <c r="B61" t="s">
        <v>2813</v>
      </c>
      <c r="C61" s="782">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2814</v>
      </c>
      <c r="B62" t="s">
        <v>2813</v>
      </c>
      <c r="C62" s="782">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2816</v>
      </c>
      <c r="B63" t="s">
        <v>2813</v>
      </c>
      <c r="C63" s="782">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2813</v>
      </c>
      <c r="C64" s="782">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2813</v>
      </c>
      <c r="C65" s="782">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2817</v>
      </c>
      <c r="C66" s="782"/>
      <c r="D66" s="60"/>
      <c r="E66" s="60"/>
      <c r="F66" s="60"/>
      <c r="G66" s="60"/>
      <c r="H66" s="60"/>
      <c r="I66" s="60"/>
      <c r="J66" s="60"/>
      <c r="K66" s="85"/>
    </row>
    <row r="67" spans="1:11" x14ac:dyDescent="0.25">
      <c r="A67" s="75" t="s">
        <v>25</v>
      </c>
      <c r="B67" t="s">
        <v>2813</v>
      </c>
      <c r="C67" s="782">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2814</v>
      </c>
      <c r="B68" t="s">
        <v>2813</v>
      </c>
      <c r="C68" s="782">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2816</v>
      </c>
      <c r="B69" t="s">
        <v>2813</v>
      </c>
      <c r="C69" s="782">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2813</v>
      </c>
      <c r="C70" s="782">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2818</v>
      </c>
      <c r="B71" t="s">
        <v>2813</v>
      </c>
      <c r="C71" s="782">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2819</v>
      </c>
      <c r="B72" t="s">
        <v>2813</v>
      </c>
      <c r="C72" s="782">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2813</v>
      </c>
      <c r="C73" s="782">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2820</v>
      </c>
      <c r="C74" s="783"/>
      <c r="D74" s="60"/>
      <c r="E74" s="60"/>
      <c r="F74" s="60"/>
      <c r="G74" s="60"/>
      <c r="H74" s="60"/>
      <c r="I74" s="60"/>
      <c r="J74" s="60"/>
      <c r="K74" s="85"/>
    </row>
    <row r="75" spans="1:11" x14ac:dyDescent="0.25">
      <c r="A75" s="75" t="s">
        <v>25</v>
      </c>
      <c r="B75" t="s">
        <v>2813</v>
      </c>
      <c r="C75" s="782">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2813</v>
      </c>
      <c r="C76" s="782">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2813</v>
      </c>
      <c r="C77" s="782">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2821</v>
      </c>
      <c r="B78" t="s">
        <v>2813</v>
      </c>
      <c r="C78" s="782">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2822</v>
      </c>
      <c r="B79" t="s">
        <v>2813</v>
      </c>
      <c r="C79" s="782">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2816</v>
      </c>
      <c r="B80" t="s">
        <v>2813</v>
      </c>
      <c r="C80" s="782">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2813</v>
      </c>
      <c r="C81" s="782">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2813</v>
      </c>
      <c r="C82" s="782">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2823</v>
      </c>
      <c r="C83" s="782"/>
      <c r="D83" s="60"/>
      <c r="E83" s="60"/>
      <c r="F83" s="60"/>
      <c r="G83" s="60"/>
      <c r="H83" s="60"/>
      <c r="I83" s="60"/>
      <c r="J83" s="60"/>
      <c r="K83" s="85"/>
    </row>
    <row r="84" spans="1:11" x14ac:dyDescent="0.25">
      <c r="A84" s="75" t="s">
        <v>2814</v>
      </c>
      <c r="B84" t="s">
        <v>2813</v>
      </c>
      <c r="C84" s="782">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2816</v>
      </c>
      <c r="B85" t="s">
        <v>2813</v>
      </c>
      <c r="C85" s="782">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2813</v>
      </c>
      <c r="C86" s="782">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2824</v>
      </c>
      <c r="B87" t="s">
        <v>2813</v>
      </c>
      <c r="C87" s="782">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2825</v>
      </c>
      <c r="B88" t="s">
        <v>2813</v>
      </c>
      <c r="C88" s="782">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2837</v>
      </c>
    </row>
    <row r="91" spans="1:11" ht="15.75" x14ac:dyDescent="0.25">
      <c r="A91" s="159" t="s">
        <v>2967</v>
      </c>
      <c r="C91" s="54"/>
    </row>
    <row r="92" spans="1:11" ht="15.75" thickBot="1" x14ac:dyDescent="0.3">
      <c r="A92" s="88" t="s">
        <v>225</v>
      </c>
      <c r="B92" s="88" t="s">
        <v>2810</v>
      </c>
      <c r="C92" s="761">
        <v>2021</v>
      </c>
      <c r="D92" s="88">
        <v>2022</v>
      </c>
      <c r="E92" s="88">
        <v>2025</v>
      </c>
      <c r="F92" s="88">
        <v>2030</v>
      </c>
      <c r="G92" s="88">
        <v>2035</v>
      </c>
      <c r="H92" s="88">
        <v>2040</v>
      </c>
      <c r="I92" s="88">
        <v>2045</v>
      </c>
      <c r="J92" s="88">
        <v>2050</v>
      </c>
      <c r="K92" s="88" t="s">
        <v>2811</v>
      </c>
    </row>
    <row r="93" spans="1:11" ht="15.75" thickTop="1" x14ac:dyDescent="0.25">
      <c r="A93" t="s">
        <v>2966</v>
      </c>
      <c r="C93" s="54"/>
    </row>
    <row r="94" spans="1:11" x14ac:dyDescent="0.25">
      <c r="A94" s="75" t="s">
        <v>2955</v>
      </c>
      <c r="B94" t="s">
        <v>2956</v>
      </c>
      <c r="C94" s="782">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2957</v>
      </c>
      <c r="B95" t="s">
        <v>2956</v>
      </c>
      <c r="C95" s="782">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2958</v>
      </c>
      <c r="B96" t="s">
        <v>2956</v>
      </c>
      <c r="C96" s="782">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2959</v>
      </c>
      <c r="B97" t="s">
        <v>2956</v>
      </c>
      <c r="C97" s="782">
        <v>0</v>
      </c>
      <c r="D97" s="60">
        <v>0</v>
      </c>
      <c r="E97" s="60">
        <v>0</v>
      </c>
      <c r="F97" s="60">
        <v>0</v>
      </c>
      <c r="G97" s="60">
        <v>0</v>
      </c>
      <c r="H97" s="60">
        <v>0</v>
      </c>
      <c r="I97" s="60">
        <v>0</v>
      </c>
      <c r="J97" s="60">
        <v>0</v>
      </c>
      <c r="K97" s="85" t="s">
        <v>281</v>
      </c>
    </row>
    <row r="98" spans="1:11" x14ac:dyDescent="0.25">
      <c r="A98" s="75" t="s">
        <v>2960</v>
      </c>
      <c r="B98" t="s">
        <v>2956</v>
      </c>
      <c r="C98" s="782">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2961</v>
      </c>
      <c r="B99" t="s">
        <v>2956</v>
      </c>
      <c r="C99" s="782">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2962</v>
      </c>
      <c r="C100" s="782"/>
      <c r="D100" s="60"/>
      <c r="E100" s="60"/>
      <c r="F100" s="60"/>
      <c r="G100" s="60"/>
      <c r="H100" s="60"/>
      <c r="I100" s="60"/>
      <c r="J100" s="60"/>
      <c r="K100" s="85"/>
    </row>
    <row r="101" spans="1:11" x14ac:dyDescent="0.25">
      <c r="A101" s="75" t="s">
        <v>2955</v>
      </c>
      <c r="B101" t="s">
        <v>2956</v>
      </c>
      <c r="C101" s="782">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2957</v>
      </c>
      <c r="B102" t="s">
        <v>2956</v>
      </c>
      <c r="C102" s="782">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2958</v>
      </c>
      <c r="B103" t="s">
        <v>2956</v>
      </c>
      <c r="C103" s="782">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2959</v>
      </c>
      <c r="B104" t="s">
        <v>2956</v>
      </c>
      <c r="C104" s="782">
        <v>0</v>
      </c>
      <c r="D104" s="60">
        <v>0</v>
      </c>
      <c r="E104" s="60">
        <v>0</v>
      </c>
      <c r="F104" s="60">
        <v>0</v>
      </c>
      <c r="G104" s="60">
        <v>0</v>
      </c>
      <c r="H104" s="60">
        <v>0</v>
      </c>
      <c r="I104" s="60">
        <v>0</v>
      </c>
      <c r="J104" s="60">
        <v>0</v>
      </c>
      <c r="K104" s="85" t="s">
        <v>281</v>
      </c>
    </row>
    <row r="105" spans="1:11" x14ac:dyDescent="0.25">
      <c r="A105" s="75" t="s">
        <v>2960</v>
      </c>
      <c r="B105" t="s">
        <v>2956</v>
      </c>
      <c r="C105" s="782">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2961</v>
      </c>
      <c r="B106" t="s">
        <v>2956</v>
      </c>
      <c r="C106" s="782">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2821</v>
      </c>
      <c r="C107" s="782"/>
      <c r="D107" s="60"/>
      <c r="E107" s="60"/>
      <c r="F107" s="60"/>
      <c r="G107" s="60"/>
      <c r="H107" s="60"/>
      <c r="I107" s="60"/>
      <c r="J107" s="60"/>
      <c r="K107" s="85"/>
    </row>
    <row r="108" spans="1:11" x14ac:dyDescent="0.25">
      <c r="A108" s="75" t="s">
        <v>2955</v>
      </c>
      <c r="B108" t="s">
        <v>2956</v>
      </c>
      <c r="C108" s="782">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2957</v>
      </c>
      <c r="B109" t="s">
        <v>2956</v>
      </c>
      <c r="C109" s="782">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2958</v>
      </c>
      <c r="B110" t="s">
        <v>2956</v>
      </c>
      <c r="C110" s="782">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2959</v>
      </c>
      <c r="B111" t="s">
        <v>2956</v>
      </c>
      <c r="C111" s="782">
        <v>0</v>
      </c>
      <c r="D111" s="60">
        <v>0</v>
      </c>
      <c r="E111" s="60">
        <v>0</v>
      </c>
      <c r="F111" s="60">
        <v>0</v>
      </c>
      <c r="G111" s="60">
        <v>0</v>
      </c>
      <c r="H111" s="60">
        <v>0</v>
      </c>
      <c r="I111" s="60">
        <v>0</v>
      </c>
      <c r="J111" s="60">
        <v>0</v>
      </c>
      <c r="K111" s="85" t="s">
        <v>281</v>
      </c>
    </row>
    <row r="112" spans="1:11" x14ac:dyDescent="0.25">
      <c r="A112" s="75" t="s">
        <v>2960</v>
      </c>
      <c r="B112" t="s">
        <v>2956</v>
      </c>
      <c r="C112" s="782">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2961</v>
      </c>
      <c r="B113" t="s">
        <v>2956</v>
      </c>
      <c r="C113" s="782">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2963</v>
      </c>
      <c r="C114" s="782"/>
      <c r="D114" s="60"/>
      <c r="E114" s="60"/>
      <c r="F114" s="60"/>
      <c r="G114" s="60"/>
      <c r="H114" s="60"/>
      <c r="I114" s="60"/>
      <c r="J114" s="60"/>
      <c r="K114" s="85"/>
    </row>
    <row r="115" spans="1:11" x14ac:dyDescent="0.25">
      <c r="A115" s="75" t="s">
        <v>2955</v>
      </c>
      <c r="B115" t="s">
        <v>2956</v>
      </c>
      <c r="C115" s="782">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2959</v>
      </c>
      <c r="B116" t="s">
        <v>2956</v>
      </c>
      <c r="C116" s="782">
        <v>0</v>
      </c>
      <c r="D116" s="60">
        <v>0</v>
      </c>
      <c r="E116" s="60">
        <v>0</v>
      </c>
      <c r="F116" s="60">
        <v>0</v>
      </c>
      <c r="G116" s="60">
        <v>0</v>
      </c>
      <c r="H116" s="60">
        <v>0</v>
      </c>
      <c r="I116" s="60">
        <v>0</v>
      </c>
      <c r="J116" s="60">
        <v>0</v>
      </c>
      <c r="K116" s="85" t="s">
        <v>281</v>
      </c>
    </row>
    <row r="117" spans="1:11" x14ac:dyDescent="0.25">
      <c r="A117" s="75" t="s">
        <v>2960</v>
      </c>
      <c r="B117" t="s">
        <v>2956</v>
      </c>
      <c r="C117" s="782">
        <v>0</v>
      </c>
      <c r="D117" s="60">
        <v>0</v>
      </c>
      <c r="E117" s="60">
        <v>0</v>
      </c>
      <c r="F117" s="60">
        <v>0</v>
      </c>
      <c r="G117" s="60">
        <v>0</v>
      </c>
      <c r="H117" s="60">
        <v>0</v>
      </c>
      <c r="I117" s="60">
        <v>0</v>
      </c>
      <c r="J117" s="60">
        <v>0</v>
      </c>
      <c r="K117" s="85" t="s">
        <v>281</v>
      </c>
    </row>
    <row r="118" spans="1:11" x14ac:dyDescent="0.25">
      <c r="A118" s="75" t="s">
        <v>2961</v>
      </c>
      <c r="B118" t="s">
        <v>2956</v>
      </c>
      <c r="C118" s="782">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2964</v>
      </c>
      <c r="B119" t="s">
        <v>2956</v>
      </c>
      <c r="C119" s="782">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2965</v>
      </c>
      <c r="B120" t="s">
        <v>2956</v>
      </c>
      <c r="C120" s="782">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2837</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6" customFormat="1" ht="27" customHeight="1" x14ac:dyDescent="0.25">
      <c r="A1" s="795" t="s">
        <v>2316</v>
      </c>
      <c r="E1" s="106" t="s">
        <v>2938</v>
      </c>
    </row>
    <row r="2" spans="1:43" x14ac:dyDescent="0.25">
      <c r="A2" s="1039" t="s">
        <v>505</v>
      </c>
      <c r="B2" s="1039"/>
      <c r="C2" s="1039"/>
      <c r="D2" s="1039"/>
      <c r="E2" s="1"/>
      <c r="G2" s="1039" t="s">
        <v>506</v>
      </c>
      <c r="H2" s="1039"/>
      <c r="I2" s="1039"/>
      <c r="J2" s="1039"/>
      <c r="M2" s="1039" t="s">
        <v>507</v>
      </c>
      <c r="N2" s="1039"/>
      <c r="O2" s="1039"/>
      <c r="P2" s="1039"/>
      <c r="S2" s="1039" t="s">
        <v>520</v>
      </c>
      <c r="T2" s="1039"/>
      <c r="U2" s="1039"/>
      <c r="V2" s="1039"/>
      <c r="Y2" s="1039" t="s">
        <v>508</v>
      </c>
      <c r="Z2" s="1039"/>
      <c r="AA2" s="1039"/>
      <c r="AB2" s="1039"/>
      <c r="AE2" s="1039" t="s">
        <v>496</v>
      </c>
      <c r="AF2" s="1039"/>
      <c r="AG2" s="1039"/>
      <c r="AH2" s="1039"/>
      <c r="AK2" s="1118" t="s">
        <v>514</v>
      </c>
      <c r="AL2" s="1118"/>
      <c r="AM2" s="1118"/>
      <c r="AN2" s="1118"/>
      <c r="AO2" s="1118"/>
      <c r="AP2" s="1118"/>
    </row>
    <row r="3" spans="1:43" ht="87.6" customHeight="1" thickBot="1" x14ac:dyDescent="0.3">
      <c r="A3" s="103" t="s">
        <v>464</v>
      </c>
      <c r="B3" s="103" t="s">
        <v>259</v>
      </c>
      <c r="C3" s="104" t="s">
        <v>494</v>
      </c>
      <c r="D3" s="104" t="s">
        <v>463</v>
      </c>
      <c r="E3" s="357" t="s">
        <v>1945</v>
      </c>
      <c r="G3" s="103" t="s">
        <v>464</v>
      </c>
      <c r="H3" s="103" t="s">
        <v>259</v>
      </c>
      <c r="I3" s="104" t="s">
        <v>494</v>
      </c>
      <c r="J3" s="104" t="s">
        <v>463</v>
      </c>
      <c r="K3" s="357" t="s">
        <v>1945</v>
      </c>
      <c r="M3" s="103" t="s">
        <v>464</v>
      </c>
      <c r="N3" s="103" t="s">
        <v>259</v>
      </c>
      <c r="O3" s="104" t="s">
        <v>494</v>
      </c>
      <c r="P3" s="104" t="s">
        <v>463</v>
      </c>
      <c r="Q3" s="357" t="s">
        <v>1945</v>
      </c>
      <c r="S3" s="103" t="s">
        <v>464</v>
      </c>
      <c r="T3" s="103" t="s">
        <v>259</v>
      </c>
      <c r="U3" s="104" t="s">
        <v>494</v>
      </c>
      <c r="V3" s="104" t="s">
        <v>463</v>
      </c>
      <c r="W3" s="357" t="s">
        <v>1945</v>
      </c>
      <c r="Y3" s="103" t="s">
        <v>464</v>
      </c>
      <c r="Z3" s="103" t="s">
        <v>259</v>
      </c>
      <c r="AA3" s="104" t="s">
        <v>494</v>
      </c>
      <c r="AB3" s="104" t="s">
        <v>463</v>
      </c>
      <c r="AC3" s="357" t="s">
        <v>1945</v>
      </c>
      <c r="AE3" s="103" t="s">
        <v>464</v>
      </c>
      <c r="AF3" s="103" t="s">
        <v>495</v>
      </c>
      <c r="AG3" s="104" t="s">
        <v>503</v>
      </c>
      <c r="AH3" s="104" t="s">
        <v>509</v>
      </c>
      <c r="AI3" s="357" t="s">
        <v>1945</v>
      </c>
      <c r="AK3" s="103" t="s">
        <v>464</v>
      </c>
      <c r="AL3" s="104" t="s">
        <v>515</v>
      </c>
      <c r="AM3" s="104" t="s">
        <v>2129</v>
      </c>
      <c r="AN3" s="104" t="s">
        <v>2128</v>
      </c>
      <c r="AO3" s="104" t="s">
        <v>463</v>
      </c>
      <c r="AP3" s="104" t="s">
        <v>3045</v>
      </c>
      <c r="AQ3" s="357" t="s">
        <v>1945</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8"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47" t="s">
        <v>3043</v>
      </c>
      <c r="AL20" s="1147"/>
      <c r="AM20" s="1147"/>
      <c r="AN20" s="1147"/>
      <c r="AO20" s="1147"/>
      <c r="AP20" s="1147"/>
      <c r="AQ20" s="1147"/>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47"/>
      <c r="AL21" s="1147"/>
      <c r="AM21" s="1147"/>
      <c r="AN21" s="1147"/>
      <c r="AO21" s="1147"/>
      <c r="AP21" s="1147"/>
      <c r="AQ21" s="1147"/>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47"/>
      <c r="AL22" s="1147"/>
      <c r="AM22" s="1147"/>
      <c r="AN22" s="1147"/>
      <c r="AO22" s="1147"/>
      <c r="AP22" s="1147"/>
      <c r="AQ22" s="1147"/>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2132</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1944</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2131</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41" t="s">
        <v>1943</v>
      </c>
      <c r="B37" s="1142"/>
      <c r="C37" s="1142"/>
      <c r="D37" s="1143"/>
      <c r="E37" s="194"/>
      <c r="G37" t="s">
        <v>475</v>
      </c>
      <c r="I37" s="71">
        <v>21.810416666666601</v>
      </c>
      <c r="J37" s="71">
        <v>348.979166666666</v>
      </c>
      <c r="K37" s="29" t="e">
        <f t="shared" si="13"/>
        <v>#N/A</v>
      </c>
    </row>
    <row r="38" spans="1:19" ht="14.45" customHeight="1" x14ac:dyDescent="0.25">
      <c r="A38" s="1144"/>
      <c r="B38" s="1145"/>
      <c r="C38" s="1145"/>
      <c r="D38" s="1146"/>
      <c r="E38" s="194"/>
      <c r="G38" t="s">
        <v>475</v>
      </c>
      <c r="I38" s="71">
        <v>16.001724137930999</v>
      </c>
      <c r="J38" s="71">
        <v>368.17241379310298</v>
      </c>
      <c r="K38" s="29" t="e">
        <f t="shared" si="13"/>
        <v>#N/A</v>
      </c>
    </row>
    <row r="39" spans="1:19" ht="14.45" customHeight="1" x14ac:dyDescent="0.25">
      <c r="A39" s="1144"/>
      <c r="B39" s="1145"/>
      <c r="C39" s="1145"/>
      <c r="D39" s="1146"/>
      <c r="E39" s="194"/>
      <c r="G39" t="s">
        <v>476</v>
      </c>
      <c r="H39" t="s">
        <v>240</v>
      </c>
      <c r="I39" s="71">
        <v>23.754385964912199</v>
      </c>
      <c r="J39" s="71">
        <v>380.15789473684202</v>
      </c>
      <c r="K39" s="29">
        <f t="shared" si="13"/>
        <v>3.3769184854023297E-2</v>
      </c>
    </row>
    <row r="40" spans="1:19" ht="14.45" customHeight="1" x14ac:dyDescent="0.25">
      <c r="A40" s="1086" t="s">
        <v>2130</v>
      </c>
      <c r="B40" s="1087"/>
      <c r="C40" s="1087"/>
      <c r="D40" s="1088"/>
      <c r="E40" s="350"/>
      <c r="G40" t="s">
        <v>476</v>
      </c>
      <c r="H40" t="s">
        <v>108</v>
      </c>
      <c r="I40" s="71">
        <v>17.670491803278601</v>
      </c>
      <c r="J40" s="71">
        <v>406.44262295081899</v>
      </c>
      <c r="K40" s="29">
        <f t="shared" si="13"/>
        <v>3.3769184854023297E-2</v>
      </c>
    </row>
    <row r="41" spans="1:19" ht="15.75" thickBot="1" x14ac:dyDescent="0.3">
      <c r="A41" s="1089"/>
      <c r="B41" s="1090"/>
      <c r="C41" s="1090"/>
      <c r="D41" s="1091"/>
      <c r="E41" s="350"/>
      <c r="G41" t="s">
        <v>479</v>
      </c>
      <c r="H41" t="s">
        <v>108</v>
      </c>
      <c r="I41" s="71">
        <v>10.25625</v>
      </c>
      <c r="J41" s="71">
        <v>236</v>
      </c>
      <c r="K41" s="29" t="e">
        <f t="shared" si="13"/>
        <v>#N/A</v>
      </c>
    </row>
    <row r="44" spans="1:19" ht="15.75" x14ac:dyDescent="0.25">
      <c r="G44" s="159" t="s">
        <v>1933</v>
      </c>
      <c r="H44" s="28"/>
      <c r="I44" s="28"/>
      <c r="J44" s="28"/>
      <c r="K44" s="28"/>
      <c r="L44" s="28"/>
      <c r="N44" s="28"/>
      <c r="P44" s="28"/>
      <c r="Q44" s="28"/>
      <c r="R44" s="28"/>
      <c r="S44" s="28"/>
    </row>
    <row r="45" spans="1:19" ht="15.75" thickBot="1" x14ac:dyDescent="0.3">
      <c r="G45" s="88" t="s">
        <v>1326</v>
      </c>
      <c r="H45" s="88" t="s">
        <v>1941</v>
      </c>
      <c r="I45" s="88" t="s">
        <v>1937</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6"/>
    </row>
    <row r="54" spans="5:12" ht="15.75" x14ac:dyDescent="0.25">
      <c r="G54" s="159" t="s">
        <v>1934</v>
      </c>
      <c r="H54" s="28"/>
      <c r="I54" s="28"/>
      <c r="J54" s="28"/>
      <c r="K54" s="28"/>
    </row>
    <row r="55" spans="5:12" ht="15.75" thickBot="1" x14ac:dyDescent="0.3">
      <c r="G55" s="88" t="s">
        <v>1326</v>
      </c>
      <c r="H55" s="88" t="s">
        <v>1941</v>
      </c>
      <c r="I55" s="88" t="s">
        <v>1937</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6"/>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5" t="s">
        <v>3054</v>
      </c>
      <c r="I1" s="1149" t="s">
        <v>915</v>
      </c>
      <c r="J1" s="1149"/>
      <c r="K1" s="1149"/>
      <c r="L1" s="1149"/>
      <c r="M1" s="1149"/>
      <c r="N1" s="1149"/>
      <c r="O1" s="1149"/>
      <c r="P1" s="1149"/>
      <c r="Q1" s="1149"/>
      <c r="R1" s="1149"/>
      <c r="S1" s="1149"/>
      <c r="T1" s="1149"/>
      <c r="U1" s="1149"/>
      <c r="V1" s="1149"/>
      <c r="W1" s="1149"/>
      <c r="X1" s="1149"/>
      <c r="Y1" s="1149"/>
      <c r="Z1" s="1149"/>
      <c r="AA1" s="1149"/>
      <c r="AB1" s="1149"/>
      <c r="AC1" s="1148" t="s">
        <v>3953</v>
      </c>
      <c r="AD1" s="1148"/>
      <c r="AE1" s="1148"/>
      <c r="AF1" s="1148"/>
      <c r="AH1" s="1039" t="s">
        <v>3028</v>
      </c>
      <c r="AI1" s="1039"/>
      <c r="AJ1" s="1039"/>
      <c r="AK1" s="1039"/>
      <c r="AL1" s="1039"/>
      <c r="AM1" s="1039"/>
      <c r="AN1" s="1039"/>
      <c r="AO1" s="1039"/>
      <c r="AT1" s="28" t="s">
        <v>4042</v>
      </c>
      <c r="AW1" s="28" t="s">
        <v>4044</v>
      </c>
    </row>
    <row r="2" spans="1:50" s="210" customFormat="1" ht="90.75" thickBot="1" x14ac:dyDescent="0.3">
      <c r="A2" s="207" t="s">
        <v>878</v>
      </c>
      <c r="B2" s="207" t="s">
        <v>901</v>
      </c>
      <c r="C2" s="207" t="s">
        <v>879</v>
      </c>
      <c r="D2" s="207" t="s">
        <v>464</v>
      </c>
      <c r="E2" s="207" t="s">
        <v>880</v>
      </c>
      <c r="F2" s="793" t="s">
        <v>4838</v>
      </c>
      <c r="G2" s="793" t="s">
        <v>1462</v>
      </c>
      <c r="H2" s="793" t="s">
        <v>3002</v>
      </c>
      <c r="I2" s="794" t="s">
        <v>3003</v>
      </c>
      <c r="J2" s="794" t="s">
        <v>3004</v>
      </c>
      <c r="K2" s="794" t="s">
        <v>3005</v>
      </c>
      <c r="L2" s="794" t="s">
        <v>3022</v>
      </c>
      <c r="M2" s="794" t="s">
        <v>3006</v>
      </c>
      <c r="N2" s="794" t="s">
        <v>3007</v>
      </c>
      <c r="O2" s="794" t="s">
        <v>3008</v>
      </c>
      <c r="P2" s="794" t="s">
        <v>3009</v>
      </c>
      <c r="Q2" s="794" t="s">
        <v>3010</v>
      </c>
      <c r="R2" s="794" t="s">
        <v>3011</v>
      </c>
      <c r="S2" s="794" t="s">
        <v>3012</v>
      </c>
      <c r="T2" s="794" t="s">
        <v>3013</v>
      </c>
      <c r="U2" s="794" t="s">
        <v>3014</v>
      </c>
      <c r="V2" s="794" t="s">
        <v>3015</v>
      </c>
      <c r="W2" s="794" t="s">
        <v>3016</v>
      </c>
      <c r="X2" s="794" t="s">
        <v>3017</v>
      </c>
      <c r="Y2" s="794" t="s">
        <v>3018</v>
      </c>
      <c r="Z2" s="794" t="s">
        <v>3019</v>
      </c>
      <c r="AA2" s="794" t="s">
        <v>3020</v>
      </c>
      <c r="AB2" s="208" t="s">
        <v>3021</v>
      </c>
      <c r="AC2" s="209" t="s">
        <v>3024</v>
      </c>
      <c r="AD2" s="209" t="s">
        <v>3023</v>
      </c>
      <c r="AE2" s="209" t="s">
        <v>3025</v>
      </c>
      <c r="AF2" s="209" t="s">
        <v>3026</v>
      </c>
      <c r="AG2" s="211"/>
      <c r="AH2" s="210" t="s">
        <v>927</v>
      </c>
      <c r="AI2" s="210" t="s">
        <v>3027</v>
      </c>
      <c r="AJ2" s="210" t="s">
        <v>917</v>
      </c>
      <c r="AK2" s="210" t="s">
        <v>916</v>
      </c>
      <c r="AL2" s="210" t="s">
        <v>918</v>
      </c>
      <c r="AM2" s="210" t="s">
        <v>919</v>
      </c>
      <c r="AN2" s="210" t="s">
        <v>920</v>
      </c>
      <c r="AO2" s="210" t="s">
        <v>921</v>
      </c>
      <c r="AQ2" s="215" t="s">
        <v>4043</v>
      </c>
      <c r="AR2" s="215" t="s">
        <v>926</v>
      </c>
      <c r="AT2" s="88" t="s">
        <v>123</v>
      </c>
      <c r="AU2" s="88" t="s">
        <v>920</v>
      </c>
      <c r="AW2" s="88" t="s">
        <v>123</v>
      </c>
      <c r="AX2" s="88" t="s">
        <v>920</v>
      </c>
    </row>
    <row r="3" spans="1:50" ht="16.5" thickTop="1" thickBot="1" x14ac:dyDescent="0.3">
      <c r="A3" t="s">
        <v>2997</v>
      </c>
      <c r="B3">
        <v>2023</v>
      </c>
      <c r="C3" t="s">
        <v>766</v>
      </c>
      <c r="D3" t="s">
        <v>482</v>
      </c>
      <c r="E3" t="s">
        <v>2998</v>
      </c>
      <c r="F3">
        <v>185</v>
      </c>
      <c r="G3" s="520">
        <v>34935.528960000003</v>
      </c>
      <c r="H3" s="520">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8">
        <f>AVERAGEIF($A:$A, "Par PHEV35", $AN:$AN)</f>
        <v>0.63209064851648689</v>
      </c>
      <c r="AR3" s="828">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25">
      <c r="A4" t="s">
        <v>2997</v>
      </c>
      <c r="B4">
        <v>2023</v>
      </c>
      <c r="C4" t="s">
        <v>766</v>
      </c>
      <c r="D4" t="s">
        <v>1473</v>
      </c>
      <c r="E4" t="s">
        <v>2998</v>
      </c>
      <c r="F4">
        <v>185</v>
      </c>
      <c r="G4" s="520">
        <v>34912.347840000002</v>
      </c>
      <c r="H4" s="520">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25">
      <c r="A5" t="s">
        <v>2997</v>
      </c>
      <c r="B5">
        <v>2023</v>
      </c>
      <c r="C5" t="s">
        <v>766</v>
      </c>
      <c r="D5" t="s">
        <v>1476</v>
      </c>
      <c r="E5" t="s">
        <v>2998</v>
      </c>
      <c r="F5">
        <v>246</v>
      </c>
      <c r="G5" s="520">
        <v>46401.189120000003</v>
      </c>
      <c r="H5" s="520">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25">
      <c r="A6" t="s">
        <v>2997</v>
      </c>
      <c r="B6">
        <v>2023</v>
      </c>
      <c r="C6" t="s">
        <v>766</v>
      </c>
      <c r="D6" t="s">
        <v>930</v>
      </c>
      <c r="E6" t="s">
        <v>2998</v>
      </c>
      <c r="F6">
        <v>297</v>
      </c>
      <c r="G6" s="520">
        <v>56006.596799999999</v>
      </c>
      <c r="H6" s="520">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25">
      <c r="A7" t="s">
        <v>2997</v>
      </c>
      <c r="B7">
        <v>2023</v>
      </c>
      <c r="C7" t="s">
        <v>766</v>
      </c>
      <c r="D7" t="s">
        <v>1475</v>
      </c>
      <c r="E7" t="s">
        <v>2998</v>
      </c>
      <c r="F7">
        <v>221</v>
      </c>
      <c r="G7" s="520">
        <v>41822.784</v>
      </c>
      <c r="H7" s="520">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25">
      <c r="A8" t="s">
        <v>2997</v>
      </c>
      <c r="B8">
        <v>2025</v>
      </c>
      <c r="C8" t="s">
        <v>766</v>
      </c>
      <c r="D8" t="s">
        <v>482</v>
      </c>
      <c r="E8" t="s">
        <v>2998</v>
      </c>
      <c r="F8">
        <v>144</v>
      </c>
      <c r="G8" s="520">
        <v>31754.37384</v>
      </c>
      <c r="H8" s="520">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2997</v>
      </c>
      <c r="B9">
        <v>2025</v>
      </c>
      <c r="C9" t="s">
        <v>766</v>
      </c>
      <c r="D9" t="s">
        <v>1473</v>
      </c>
      <c r="E9" t="s">
        <v>2998</v>
      </c>
      <c r="F9">
        <v>155</v>
      </c>
      <c r="G9" s="520">
        <v>34093.854720000003</v>
      </c>
      <c r="H9" s="520">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2997</v>
      </c>
      <c r="B10">
        <v>2025</v>
      </c>
      <c r="C10" t="s">
        <v>766</v>
      </c>
      <c r="D10" t="s">
        <v>1476</v>
      </c>
      <c r="E10" t="s">
        <v>2998</v>
      </c>
      <c r="F10">
        <v>202</v>
      </c>
      <c r="G10" s="520">
        <v>44483.826240000002</v>
      </c>
      <c r="H10" s="520">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2997</v>
      </c>
      <c r="B11">
        <v>2025</v>
      </c>
      <c r="C11" t="s">
        <v>766</v>
      </c>
      <c r="D11" t="s">
        <v>930</v>
      </c>
      <c r="E11" t="s">
        <v>2998</v>
      </c>
      <c r="F11">
        <v>240</v>
      </c>
      <c r="G11" s="520">
        <v>52887.781439999999</v>
      </c>
      <c r="H11" s="520">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2997</v>
      </c>
      <c r="B12">
        <v>2025</v>
      </c>
      <c r="C12" t="s">
        <v>766</v>
      </c>
      <c r="D12" t="s">
        <v>1475</v>
      </c>
      <c r="E12" t="s">
        <v>2998</v>
      </c>
      <c r="F12">
        <v>183</v>
      </c>
      <c r="G12" s="520">
        <v>40283.71488</v>
      </c>
      <c r="H12" s="520">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2997</v>
      </c>
      <c r="B13">
        <v>2030</v>
      </c>
      <c r="C13" t="s">
        <v>766</v>
      </c>
      <c r="D13" t="s">
        <v>482</v>
      </c>
      <c r="E13" t="s">
        <v>2998</v>
      </c>
      <c r="F13">
        <v>135</v>
      </c>
      <c r="G13" s="520">
        <v>32493.765599999999</v>
      </c>
      <c r="H13" s="520">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2997</v>
      </c>
      <c r="B14">
        <v>2030</v>
      </c>
      <c r="C14" t="s">
        <v>766</v>
      </c>
      <c r="D14" t="s">
        <v>1473</v>
      </c>
      <c r="E14" t="s">
        <v>2998</v>
      </c>
      <c r="F14">
        <v>143</v>
      </c>
      <c r="G14" s="520">
        <v>34434.339840000001</v>
      </c>
      <c r="H14" s="520">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2997</v>
      </c>
      <c r="B15">
        <v>2030</v>
      </c>
      <c r="C15" t="s">
        <v>766</v>
      </c>
      <c r="D15" t="s">
        <v>1476</v>
      </c>
      <c r="E15" t="s">
        <v>2998</v>
      </c>
      <c r="F15">
        <v>180</v>
      </c>
      <c r="G15" s="520">
        <v>43166.623679999997</v>
      </c>
      <c r="H15" s="520">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2997</v>
      </c>
      <c r="B16">
        <v>2030</v>
      </c>
      <c r="C16" t="s">
        <v>766</v>
      </c>
      <c r="D16" t="s">
        <v>930</v>
      </c>
      <c r="E16" t="s">
        <v>2998</v>
      </c>
      <c r="F16">
        <v>230</v>
      </c>
      <c r="G16" s="520">
        <v>55288.312559999998</v>
      </c>
      <c r="H16" s="520">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2997</v>
      </c>
      <c r="B17">
        <v>2030</v>
      </c>
      <c r="C17" t="s">
        <v>766</v>
      </c>
      <c r="D17" t="s">
        <v>1475</v>
      </c>
      <c r="E17" t="s">
        <v>2998</v>
      </c>
      <c r="F17">
        <v>161</v>
      </c>
      <c r="G17" s="520">
        <v>38524.6584</v>
      </c>
      <c r="H17" s="520">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2997</v>
      </c>
      <c r="B18">
        <v>2035</v>
      </c>
      <c r="C18" t="s">
        <v>766</v>
      </c>
      <c r="D18" t="s">
        <v>482</v>
      </c>
      <c r="E18" t="s">
        <v>2998</v>
      </c>
      <c r="F18">
        <v>113</v>
      </c>
      <c r="G18" s="520">
        <v>28875.147840000001</v>
      </c>
      <c r="H18" s="520">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2997</v>
      </c>
      <c r="B19">
        <v>2035</v>
      </c>
      <c r="C19" t="s">
        <v>766</v>
      </c>
      <c r="D19" t="s">
        <v>1473</v>
      </c>
      <c r="E19" t="s">
        <v>2998</v>
      </c>
      <c r="F19">
        <v>117</v>
      </c>
      <c r="G19" s="520">
        <v>29883.491999999998</v>
      </c>
      <c r="H19" s="520">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2997</v>
      </c>
      <c r="B20">
        <v>2035</v>
      </c>
      <c r="C20" t="s">
        <v>766</v>
      </c>
      <c r="D20" t="s">
        <v>1476</v>
      </c>
      <c r="E20" t="s">
        <v>2998</v>
      </c>
      <c r="F20">
        <v>156</v>
      </c>
      <c r="G20" s="520">
        <v>39896.461439999999</v>
      </c>
      <c r="H20" s="520">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2997</v>
      </c>
      <c r="B21">
        <v>2035</v>
      </c>
      <c r="C21" t="s">
        <v>766</v>
      </c>
      <c r="D21" t="s">
        <v>930</v>
      </c>
      <c r="E21" t="s">
        <v>2998</v>
      </c>
      <c r="F21">
        <v>191</v>
      </c>
      <c r="G21" s="520">
        <v>48803.912640000002</v>
      </c>
      <c r="H21" s="520">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2997</v>
      </c>
      <c r="B22">
        <v>2035</v>
      </c>
      <c r="C22" t="s">
        <v>766</v>
      </c>
      <c r="D22" t="s">
        <v>1475</v>
      </c>
      <c r="E22" t="s">
        <v>2998</v>
      </c>
      <c r="F22">
        <v>145</v>
      </c>
      <c r="G22" s="520">
        <v>37069.326000000001</v>
      </c>
      <c r="H22" s="520">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2997</v>
      </c>
      <c r="B23">
        <v>2050</v>
      </c>
      <c r="C23" t="s">
        <v>766</v>
      </c>
      <c r="D23" t="s">
        <v>482</v>
      </c>
      <c r="E23" t="s">
        <v>2998</v>
      </c>
      <c r="F23">
        <v>85</v>
      </c>
      <c r="G23" s="520">
        <v>25182.738000000001</v>
      </c>
      <c r="H23" s="520">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2997</v>
      </c>
      <c r="B24">
        <v>2050</v>
      </c>
      <c r="C24" t="s">
        <v>766</v>
      </c>
      <c r="D24" t="s">
        <v>1473</v>
      </c>
      <c r="E24" t="s">
        <v>2998</v>
      </c>
      <c r="F24">
        <v>90</v>
      </c>
      <c r="G24" s="520">
        <v>26798.541120000002</v>
      </c>
      <c r="H24" s="520">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2997</v>
      </c>
      <c r="B25">
        <v>2050</v>
      </c>
      <c r="C25" t="s">
        <v>766</v>
      </c>
      <c r="D25" t="s">
        <v>1476</v>
      </c>
      <c r="E25" t="s">
        <v>2998</v>
      </c>
      <c r="F25">
        <v>118</v>
      </c>
      <c r="G25" s="520">
        <v>35150.954400000002</v>
      </c>
      <c r="H25" s="520">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2997</v>
      </c>
      <c r="B26">
        <v>2050</v>
      </c>
      <c r="C26" t="s">
        <v>766</v>
      </c>
      <c r="D26" t="s">
        <v>930</v>
      </c>
      <c r="E26" t="s">
        <v>2998</v>
      </c>
      <c r="F26">
        <v>143</v>
      </c>
      <c r="G26" s="520">
        <v>42698.495519999997</v>
      </c>
      <c r="H26" s="520">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2997</v>
      </c>
      <c r="B27">
        <v>2050</v>
      </c>
      <c r="C27" t="s">
        <v>766</v>
      </c>
      <c r="D27" t="s">
        <v>1475</v>
      </c>
      <c r="E27" t="s">
        <v>2998</v>
      </c>
      <c r="F27">
        <v>103</v>
      </c>
      <c r="G27" s="520">
        <v>30651.47568</v>
      </c>
      <c r="H27" s="520">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883</v>
      </c>
      <c r="B28">
        <v>2023</v>
      </c>
      <c r="C28" t="s">
        <v>766</v>
      </c>
      <c r="D28" t="s">
        <v>482</v>
      </c>
      <c r="E28" t="s">
        <v>2998</v>
      </c>
      <c r="F28">
        <v>244</v>
      </c>
      <c r="G28" s="520">
        <v>46165.625999999997</v>
      </c>
      <c r="H28" s="520">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883</v>
      </c>
      <c r="B29">
        <v>2023</v>
      </c>
      <c r="C29" t="s">
        <v>766</v>
      </c>
      <c r="D29" t="s">
        <v>1473</v>
      </c>
      <c r="E29" t="s">
        <v>2998</v>
      </c>
      <c r="F29">
        <v>256</v>
      </c>
      <c r="G29" s="520">
        <v>48384.533519999997</v>
      </c>
      <c r="H29" s="520">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883</v>
      </c>
      <c r="B30">
        <v>2023</v>
      </c>
      <c r="C30" t="s">
        <v>766</v>
      </c>
      <c r="D30" t="s">
        <v>1476</v>
      </c>
      <c r="E30" t="s">
        <v>2998</v>
      </c>
      <c r="F30">
        <v>341</v>
      </c>
      <c r="G30" s="520">
        <v>64373.456160000002</v>
      </c>
      <c r="H30" s="520">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883</v>
      </c>
      <c r="B31">
        <v>2023</v>
      </c>
      <c r="C31" t="s">
        <v>766</v>
      </c>
      <c r="D31" t="s">
        <v>930</v>
      </c>
      <c r="E31" t="s">
        <v>2998</v>
      </c>
      <c r="F31">
        <v>412</v>
      </c>
      <c r="G31" s="520">
        <v>77757.010559999995</v>
      </c>
      <c r="H31" s="520">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883</v>
      </c>
      <c r="B32">
        <v>2023</v>
      </c>
      <c r="C32" t="s">
        <v>766</v>
      </c>
      <c r="D32" t="s">
        <v>1475</v>
      </c>
      <c r="E32" t="s">
        <v>2998</v>
      </c>
      <c r="F32">
        <v>308</v>
      </c>
      <c r="G32" s="520">
        <v>58119.336000000003</v>
      </c>
      <c r="H32" s="520">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883</v>
      </c>
      <c r="B33">
        <v>2025</v>
      </c>
      <c r="C33" t="s">
        <v>766</v>
      </c>
      <c r="D33" t="s">
        <v>482</v>
      </c>
      <c r="E33" t="s">
        <v>2998</v>
      </c>
      <c r="F33">
        <v>202</v>
      </c>
      <c r="G33" s="520">
        <v>44408.891519999997</v>
      </c>
      <c r="H33" s="520">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883</v>
      </c>
      <c r="B34">
        <v>2025</v>
      </c>
      <c r="C34" t="s">
        <v>766</v>
      </c>
      <c r="D34" t="s">
        <v>1473</v>
      </c>
      <c r="E34" t="s">
        <v>2998</v>
      </c>
      <c r="F34">
        <v>206</v>
      </c>
      <c r="G34" s="520">
        <v>45283.147199999999</v>
      </c>
      <c r="H34" s="520">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883</v>
      </c>
      <c r="B35">
        <v>2025</v>
      </c>
      <c r="C35" t="s">
        <v>766</v>
      </c>
      <c r="D35" t="s">
        <v>1476</v>
      </c>
      <c r="E35" t="s">
        <v>2998</v>
      </c>
      <c r="F35">
        <v>270</v>
      </c>
      <c r="G35" s="520">
        <v>59374.004399999998</v>
      </c>
      <c r="H35" s="520">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883</v>
      </c>
      <c r="B36">
        <v>2025</v>
      </c>
      <c r="C36" t="s">
        <v>766</v>
      </c>
      <c r="D36" t="s">
        <v>930</v>
      </c>
      <c r="E36" t="s">
        <v>2998</v>
      </c>
      <c r="F36">
        <v>333</v>
      </c>
      <c r="G36" s="520">
        <v>73303.472880000001</v>
      </c>
      <c r="H36" s="520">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883</v>
      </c>
      <c r="B37">
        <v>2025</v>
      </c>
      <c r="C37" t="s">
        <v>766</v>
      </c>
      <c r="D37" t="s">
        <v>1475</v>
      </c>
      <c r="E37" t="s">
        <v>2998</v>
      </c>
      <c r="F37">
        <v>245</v>
      </c>
      <c r="G37" s="520">
        <v>53791.508159999998</v>
      </c>
      <c r="H37" s="520">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883</v>
      </c>
      <c r="B38">
        <v>2030</v>
      </c>
      <c r="C38" t="s">
        <v>766</v>
      </c>
      <c r="D38" t="s">
        <v>482</v>
      </c>
      <c r="E38" t="s">
        <v>2998</v>
      </c>
      <c r="F38">
        <v>174</v>
      </c>
      <c r="G38" s="520">
        <v>41652.09216</v>
      </c>
      <c r="H38" s="520">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883</v>
      </c>
      <c r="B39">
        <v>2030</v>
      </c>
      <c r="C39" t="s">
        <v>766</v>
      </c>
      <c r="D39" t="s">
        <v>1473</v>
      </c>
      <c r="E39" t="s">
        <v>2998</v>
      </c>
      <c r="F39">
        <v>190</v>
      </c>
      <c r="G39" s="520">
        <v>45563.601600000002</v>
      </c>
      <c r="H39" s="520">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883</v>
      </c>
      <c r="B40">
        <v>2030</v>
      </c>
      <c r="C40" t="s">
        <v>766</v>
      </c>
      <c r="D40" t="s">
        <v>1476</v>
      </c>
      <c r="E40" t="s">
        <v>2998</v>
      </c>
      <c r="F40">
        <v>250</v>
      </c>
      <c r="G40" s="520">
        <v>59907.483359999998</v>
      </c>
      <c r="H40" s="520">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883</v>
      </c>
      <c r="B41">
        <v>2030</v>
      </c>
      <c r="C41" t="s">
        <v>766</v>
      </c>
      <c r="D41" t="s">
        <v>930</v>
      </c>
      <c r="E41" t="s">
        <v>2998</v>
      </c>
      <c r="F41">
        <v>303</v>
      </c>
      <c r="G41" s="520">
        <v>72776.642399999997</v>
      </c>
      <c r="H41" s="520">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883</v>
      </c>
      <c r="B42">
        <v>2030</v>
      </c>
      <c r="C42" t="s">
        <v>766</v>
      </c>
      <c r="D42" t="s">
        <v>1475</v>
      </c>
      <c r="E42" t="s">
        <v>2998</v>
      </c>
      <c r="F42">
        <v>227</v>
      </c>
      <c r="G42" s="520">
        <v>54585.16128</v>
      </c>
      <c r="H42" s="520">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883</v>
      </c>
      <c r="B43">
        <v>2035</v>
      </c>
      <c r="C43" t="s">
        <v>766</v>
      </c>
      <c r="D43" t="s">
        <v>482</v>
      </c>
      <c r="E43" t="s">
        <v>2998</v>
      </c>
      <c r="F43">
        <v>154</v>
      </c>
      <c r="G43" s="520">
        <v>39413.200320000004</v>
      </c>
      <c r="H43" s="520">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883</v>
      </c>
      <c r="B44">
        <v>2035</v>
      </c>
      <c r="C44" t="s">
        <v>766</v>
      </c>
      <c r="D44" t="s">
        <v>1473</v>
      </c>
      <c r="E44" t="s">
        <v>2998</v>
      </c>
      <c r="F44">
        <v>165</v>
      </c>
      <c r="G44" s="520">
        <v>42060.686399999999</v>
      </c>
      <c r="H44" s="520">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883</v>
      </c>
      <c r="B45">
        <v>2035</v>
      </c>
      <c r="C45" t="s">
        <v>766</v>
      </c>
      <c r="D45" t="s">
        <v>1476</v>
      </c>
      <c r="E45" t="s">
        <v>2998</v>
      </c>
      <c r="F45">
        <v>218</v>
      </c>
      <c r="G45" s="520">
        <v>55563.356160000003</v>
      </c>
      <c r="H45" s="520">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883</v>
      </c>
      <c r="B46">
        <v>2035</v>
      </c>
      <c r="C46" t="s">
        <v>766</v>
      </c>
      <c r="D46" t="s">
        <v>930</v>
      </c>
      <c r="E46" t="s">
        <v>2998</v>
      </c>
      <c r="F46">
        <v>256</v>
      </c>
      <c r="G46" s="520">
        <v>65372.767200000002</v>
      </c>
      <c r="H46" s="520">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883</v>
      </c>
      <c r="B47">
        <v>2035</v>
      </c>
      <c r="C47" t="s">
        <v>766</v>
      </c>
      <c r="D47" t="s">
        <v>1475</v>
      </c>
      <c r="E47" t="s">
        <v>2998</v>
      </c>
      <c r="F47">
        <v>198</v>
      </c>
      <c r="G47" s="520">
        <v>50544</v>
      </c>
      <c r="H47" s="520">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883</v>
      </c>
      <c r="B48">
        <v>2050</v>
      </c>
      <c r="C48" t="s">
        <v>766</v>
      </c>
      <c r="D48" t="s">
        <v>482</v>
      </c>
      <c r="E48" t="s">
        <v>2998</v>
      </c>
      <c r="F48">
        <v>116</v>
      </c>
      <c r="G48" s="520">
        <v>34546.69008</v>
      </c>
      <c r="H48" s="520">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883</v>
      </c>
      <c r="B49">
        <v>2050</v>
      </c>
      <c r="C49" t="s">
        <v>766</v>
      </c>
      <c r="D49" t="s">
        <v>1473</v>
      </c>
      <c r="E49" t="s">
        <v>2998</v>
      </c>
      <c r="F49">
        <v>120</v>
      </c>
      <c r="G49" s="520">
        <v>35653.893120000001</v>
      </c>
      <c r="H49" s="520">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883</v>
      </c>
      <c r="B50">
        <v>2050</v>
      </c>
      <c r="C50" t="s">
        <v>766</v>
      </c>
      <c r="D50" t="s">
        <v>1476</v>
      </c>
      <c r="E50" t="s">
        <v>2998</v>
      </c>
      <c r="F50">
        <v>154</v>
      </c>
      <c r="G50" s="520">
        <v>45979.436159999997</v>
      </c>
      <c r="H50" s="520">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883</v>
      </c>
      <c r="B51">
        <v>2050</v>
      </c>
      <c r="C51" t="s">
        <v>766</v>
      </c>
      <c r="D51" t="s">
        <v>930</v>
      </c>
      <c r="E51" t="s">
        <v>2998</v>
      </c>
      <c r="F51">
        <v>189</v>
      </c>
      <c r="G51" s="520">
        <v>56376.432000000001</v>
      </c>
      <c r="H51" s="520">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883</v>
      </c>
      <c r="B52">
        <v>2050</v>
      </c>
      <c r="C52" t="s">
        <v>766</v>
      </c>
      <c r="D52" t="s">
        <v>1475</v>
      </c>
      <c r="E52" t="s">
        <v>2998</v>
      </c>
      <c r="F52">
        <v>143</v>
      </c>
      <c r="G52" s="520">
        <v>42596.75952</v>
      </c>
      <c r="H52" s="520">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884</v>
      </c>
      <c r="B53">
        <v>2023</v>
      </c>
      <c r="C53" t="s">
        <v>766</v>
      </c>
      <c r="D53" t="s">
        <v>482</v>
      </c>
      <c r="E53" t="s">
        <v>2998</v>
      </c>
      <c r="F53">
        <v>379</v>
      </c>
      <c r="G53" s="520">
        <v>71620.148159999997</v>
      </c>
      <c r="H53" s="520">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884</v>
      </c>
      <c r="B54">
        <v>2023</v>
      </c>
      <c r="C54" t="s">
        <v>766</v>
      </c>
      <c r="D54" t="s">
        <v>1473</v>
      </c>
      <c r="E54" t="s">
        <v>2998</v>
      </c>
      <c r="F54">
        <v>410</v>
      </c>
      <c r="G54" s="520">
        <v>77413.145040000003</v>
      </c>
      <c r="H54" s="520">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884</v>
      </c>
      <c r="B55">
        <v>2023</v>
      </c>
      <c r="C55" t="s">
        <v>766</v>
      </c>
      <c r="D55" t="s">
        <v>1476</v>
      </c>
      <c r="E55" t="s">
        <v>2998</v>
      </c>
      <c r="F55">
        <v>520</v>
      </c>
      <c r="G55" s="520">
        <v>98257.967999999993</v>
      </c>
      <c r="H55" s="520">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884</v>
      </c>
      <c r="B56">
        <v>2023</v>
      </c>
      <c r="C56" t="s">
        <v>766</v>
      </c>
      <c r="D56" t="s">
        <v>930</v>
      </c>
      <c r="E56" t="s">
        <v>2998</v>
      </c>
      <c r="F56">
        <v>634</v>
      </c>
      <c r="G56" s="520">
        <v>119814.7421</v>
      </c>
      <c r="H56" s="520">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884</v>
      </c>
      <c r="B57">
        <v>2023</v>
      </c>
      <c r="C57" t="s">
        <v>766</v>
      </c>
      <c r="D57" t="s">
        <v>1475</v>
      </c>
      <c r="E57" t="s">
        <v>2998</v>
      </c>
      <c r="F57">
        <v>475</v>
      </c>
      <c r="G57" s="520">
        <v>89632.202399999995</v>
      </c>
      <c r="H57" s="520">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884</v>
      </c>
      <c r="B58">
        <v>2025</v>
      </c>
      <c r="C58" t="s">
        <v>766</v>
      </c>
      <c r="D58" t="s">
        <v>482</v>
      </c>
      <c r="E58" t="s">
        <v>2998</v>
      </c>
      <c r="F58">
        <v>297</v>
      </c>
      <c r="G58" s="520">
        <v>65235.136319999998</v>
      </c>
      <c r="H58" s="520">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884</v>
      </c>
      <c r="B59">
        <v>2025</v>
      </c>
      <c r="C59" t="s">
        <v>766</v>
      </c>
      <c r="D59" t="s">
        <v>1473</v>
      </c>
      <c r="E59" t="s">
        <v>2998</v>
      </c>
      <c r="F59">
        <v>322</v>
      </c>
      <c r="G59" s="520">
        <v>70778.396160000004</v>
      </c>
      <c r="H59" s="520">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884</v>
      </c>
      <c r="B60">
        <v>2025</v>
      </c>
      <c r="C60" t="s">
        <v>766</v>
      </c>
      <c r="D60" t="s">
        <v>1476</v>
      </c>
      <c r="E60" t="s">
        <v>2998</v>
      </c>
      <c r="F60">
        <v>416</v>
      </c>
      <c r="G60" s="520">
        <v>91438.822079999998</v>
      </c>
      <c r="H60" s="520">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884</v>
      </c>
      <c r="B61">
        <v>2025</v>
      </c>
      <c r="C61" t="s">
        <v>766</v>
      </c>
      <c r="D61" t="s">
        <v>930</v>
      </c>
      <c r="E61" t="s">
        <v>2998</v>
      </c>
      <c r="F61">
        <v>526</v>
      </c>
      <c r="G61" s="520">
        <v>115692.1704</v>
      </c>
      <c r="H61" s="520">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884</v>
      </c>
      <c r="B62">
        <v>2025</v>
      </c>
      <c r="C62" t="s">
        <v>766</v>
      </c>
      <c r="D62" t="s">
        <v>1475</v>
      </c>
      <c r="E62" t="s">
        <v>2998</v>
      </c>
      <c r="F62">
        <v>374</v>
      </c>
      <c r="G62" s="520">
        <v>82347.451199999996</v>
      </c>
      <c r="H62" s="520">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884</v>
      </c>
      <c r="B63">
        <v>2030</v>
      </c>
      <c r="C63" t="s">
        <v>766</v>
      </c>
      <c r="D63" t="s">
        <v>482</v>
      </c>
      <c r="E63" t="s">
        <v>2998</v>
      </c>
      <c r="F63">
        <v>283</v>
      </c>
      <c r="G63" s="520">
        <v>67939.819199999998</v>
      </c>
      <c r="H63" s="520">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884</v>
      </c>
      <c r="B64">
        <v>2030</v>
      </c>
      <c r="C64" t="s">
        <v>766</v>
      </c>
      <c r="D64" t="s">
        <v>1473</v>
      </c>
      <c r="E64" t="s">
        <v>2998</v>
      </c>
      <c r="F64">
        <v>295</v>
      </c>
      <c r="G64" s="520">
        <v>70736.349600000001</v>
      </c>
      <c r="H64" s="520">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884</v>
      </c>
      <c r="B65">
        <v>2030</v>
      </c>
      <c r="C65" t="s">
        <v>766</v>
      </c>
      <c r="D65" t="s">
        <v>1476</v>
      </c>
      <c r="E65" t="s">
        <v>2998</v>
      </c>
      <c r="F65">
        <v>391</v>
      </c>
      <c r="G65" s="520">
        <v>93756.787200000006</v>
      </c>
      <c r="H65" s="520">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884</v>
      </c>
      <c r="B66">
        <v>2030</v>
      </c>
      <c r="C66" t="s">
        <v>766</v>
      </c>
      <c r="D66" t="s">
        <v>930</v>
      </c>
      <c r="E66" t="s">
        <v>2998</v>
      </c>
      <c r="F66">
        <v>467</v>
      </c>
      <c r="G66" s="520">
        <v>111960.576</v>
      </c>
      <c r="H66" s="520">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884</v>
      </c>
      <c r="B67">
        <v>2030</v>
      </c>
      <c r="C67" t="s">
        <v>766</v>
      </c>
      <c r="D67" t="s">
        <v>1475</v>
      </c>
      <c r="E67" t="s">
        <v>2998</v>
      </c>
      <c r="F67">
        <v>344</v>
      </c>
      <c r="G67" s="520">
        <v>82590.524640000003</v>
      </c>
      <c r="H67" s="520">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884</v>
      </c>
      <c r="B68">
        <v>2035</v>
      </c>
      <c r="C68" t="s">
        <v>766</v>
      </c>
      <c r="D68" t="s">
        <v>482</v>
      </c>
      <c r="E68" t="s">
        <v>2998</v>
      </c>
      <c r="F68">
        <v>237</v>
      </c>
      <c r="G68" s="520">
        <v>60620.272559999998</v>
      </c>
      <c r="H68" s="520">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884</v>
      </c>
      <c r="B69">
        <v>2035</v>
      </c>
      <c r="C69" t="s">
        <v>766</v>
      </c>
      <c r="D69" t="s">
        <v>1473</v>
      </c>
      <c r="E69" t="s">
        <v>2998</v>
      </c>
      <c r="F69">
        <v>260</v>
      </c>
      <c r="G69" s="520">
        <v>66308.813999999998</v>
      </c>
      <c r="H69" s="520">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884</v>
      </c>
      <c r="B70">
        <v>2035</v>
      </c>
      <c r="C70" t="s">
        <v>766</v>
      </c>
      <c r="D70" t="s">
        <v>1476</v>
      </c>
      <c r="E70" t="s">
        <v>2998</v>
      </c>
      <c r="F70">
        <v>330</v>
      </c>
      <c r="G70" s="520">
        <v>84369.168000000005</v>
      </c>
      <c r="H70" s="520">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884</v>
      </c>
      <c r="B71">
        <v>2035</v>
      </c>
      <c r="C71" t="s">
        <v>766</v>
      </c>
      <c r="D71" t="s">
        <v>930</v>
      </c>
      <c r="E71" t="s">
        <v>2998</v>
      </c>
      <c r="F71">
        <v>401</v>
      </c>
      <c r="G71" s="520">
        <v>102340.8</v>
      </c>
      <c r="H71" s="520">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884</v>
      </c>
      <c r="B72">
        <v>2035</v>
      </c>
      <c r="C72" t="s">
        <v>766</v>
      </c>
      <c r="D72" t="s">
        <v>1475</v>
      </c>
      <c r="E72" t="s">
        <v>2998</v>
      </c>
      <c r="F72">
        <v>295</v>
      </c>
      <c r="G72" s="520">
        <v>75464.680319999999</v>
      </c>
      <c r="H72" s="520">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884</v>
      </c>
      <c r="B73">
        <v>2050</v>
      </c>
      <c r="C73" t="s">
        <v>766</v>
      </c>
      <c r="D73" t="s">
        <v>482</v>
      </c>
      <c r="E73" t="s">
        <v>2998</v>
      </c>
      <c r="F73">
        <v>174</v>
      </c>
      <c r="G73" s="520">
        <v>51730.421040000001</v>
      </c>
      <c r="H73" s="520">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884</v>
      </c>
      <c r="B74">
        <v>2050</v>
      </c>
      <c r="C74" t="s">
        <v>766</v>
      </c>
      <c r="D74" t="s">
        <v>1473</v>
      </c>
      <c r="E74" t="s">
        <v>2998</v>
      </c>
      <c r="F74">
        <v>188</v>
      </c>
      <c r="G74" s="520">
        <v>55987.787519999998</v>
      </c>
      <c r="H74" s="520">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884</v>
      </c>
      <c r="B75">
        <v>2050</v>
      </c>
      <c r="C75" t="s">
        <v>766</v>
      </c>
      <c r="D75" t="s">
        <v>1476</v>
      </c>
      <c r="E75" t="s">
        <v>2998</v>
      </c>
      <c r="F75">
        <v>243</v>
      </c>
      <c r="G75" s="520">
        <v>72384.079679999995</v>
      </c>
      <c r="H75" s="520">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884</v>
      </c>
      <c r="B76">
        <v>2050</v>
      </c>
      <c r="C76" t="s">
        <v>766</v>
      </c>
      <c r="D76" t="s">
        <v>930</v>
      </c>
      <c r="E76" t="s">
        <v>2998</v>
      </c>
      <c r="F76">
        <v>294</v>
      </c>
      <c r="G76" s="520">
        <v>87711.465599999996</v>
      </c>
      <c r="H76" s="520">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884</v>
      </c>
      <c r="B77">
        <v>2050</v>
      </c>
      <c r="C77" t="s">
        <v>766</v>
      </c>
      <c r="D77" t="s">
        <v>1475</v>
      </c>
      <c r="E77" t="s">
        <v>2998</v>
      </c>
      <c r="F77">
        <v>220</v>
      </c>
      <c r="G77" s="520">
        <v>65596.845600000001</v>
      </c>
      <c r="H77" s="520">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885</v>
      </c>
      <c r="B78">
        <v>2023</v>
      </c>
      <c r="C78" t="s">
        <v>766</v>
      </c>
      <c r="D78" t="s">
        <v>482</v>
      </c>
      <c r="E78" t="s">
        <v>2998</v>
      </c>
      <c r="F78">
        <v>578</v>
      </c>
      <c r="G78" s="520">
        <v>109167.1085</v>
      </c>
      <c r="H78" s="520">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885</v>
      </c>
      <c r="B79">
        <v>2023</v>
      </c>
      <c r="C79" t="s">
        <v>766</v>
      </c>
      <c r="D79" t="s">
        <v>1473</v>
      </c>
      <c r="E79" t="s">
        <v>2998</v>
      </c>
      <c r="F79">
        <v>616</v>
      </c>
      <c r="G79" s="520">
        <v>116401.83409999999</v>
      </c>
      <c r="H79" s="520">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885</v>
      </c>
      <c r="B80">
        <v>2023</v>
      </c>
      <c r="C80" t="s">
        <v>766</v>
      </c>
      <c r="D80" t="s">
        <v>1476</v>
      </c>
      <c r="E80" t="s">
        <v>2998</v>
      </c>
      <c r="F80">
        <v>781</v>
      </c>
      <c r="G80" s="520">
        <v>147564.24479999999</v>
      </c>
      <c r="H80" s="520">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885</v>
      </c>
      <c r="B81">
        <v>2023</v>
      </c>
      <c r="C81" t="s">
        <v>766</v>
      </c>
      <c r="D81" t="s">
        <v>930</v>
      </c>
      <c r="E81" t="s">
        <v>2998</v>
      </c>
      <c r="F81">
        <v>990</v>
      </c>
      <c r="G81" s="520">
        <v>186987.204</v>
      </c>
      <c r="H81" s="520">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885</v>
      </c>
      <c r="B82">
        <v>2023</v>
      </c>
      <c r="C82" t="s">
        <v>766</v>
      </c>
      <c r="D82" t="s">
        <v>1475</v>
      </c>
      <c r="E82" t="s">
        <v>2998</v>
      </c>
      <c r="F82">
        <v>709</v>
      </c>
      <c r="G82" s="520">
        <v>133935.4656</v>
      </c>
      <c r="H82" s="520">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885</v>
      </c>
      <c r="B83">
        <v>2025</v>
      </c>
      <c r="C83" t="s">
        <v>766</v>
      </c>
      <c r="D83" t="s">
        <v>482</v>
      </c>
      <c r="E83" t="s">
        <v>2998</v>
      </c>
      <c r="F83">
        <v>463</v>
      </c>
      <c r="G83" s="520">
        <v>101770.2403</v>
      </c>
      <c r="H83" s="520">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885</v>
      </c>
      <c r="B84">
        <v>2025</v>
      </c>
      <c r="C84" t="s">
        <v>766</v>
      </c>
      <c r="D84" t="s">
        <v>1473</v>
      </c>
      <c r="E84" t="s">
        <v>2998</v>
      </c>
      <c r="F84">
        <v>502</v>
      </c>
      <c r="G84" s="520">
        <v>110362.03780000001</v>
      </c>
      <c r="H84" s="520">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885</v>
      </c>
      <c r="B85">
        <v>2025</v>
      </c>
      <c r="C85" t="s">
        <v>766</v>
      </c>
      <c r="D85" t="s">
        <v>1476</v>
      </c>
      <c r="E85" t="s">
        <v>2998</v>
      </c>
      <c r="F85">
        <v>646</v>
      </c>
      <c r="G85" s="520">
        <v>142014.3149</v>
      </c>
      <c r="H85" s="520">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885</v>
      </c>
      <c r="B86">
        <v>2025</v>
      </c>
      <c r="C86" t="s">
        <v>766</v>
      </c>
      <c r="D86" t="s">
        <v>930</v>
      </c>
      <c r="E86" t="s">
        <v>2998</v>
      </c>
      <c r="F86">
        <v>767</v>
      </c>
      <c r="G86" s="520">
        <v>168661.9627</v>
      </c>
      <c r="H86" s="520">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885</v>
      </c>
      <c r="B87">
        <v>2025</v>
      </c>
      <c r="C87" t="s">
        <v>766</v>
      </c>
      <c r="D87" t="s">
        <v>1475</v>
      </c>
      <c r="E87" t="s">
        <v>2998</v>
      </c>
      <c r="F87">
        <v>585</v>
      </c>
      <c r="G87" s="520">
        <v>128755.345</v>
      </c>
      <c r="H87" s="520">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885</v>
      </c>
      <c r="B88">
        <v>2030</v>
      </c>
      <c r="C88" t="s">
        <v>766</v>
      </c>
      <c r="D88" t="s">
        <v>482</v>
      </c>
      <c r="E88" t="s">
        <v>2998</v>
      </c>
      <c r="F88">
        <v>417</v>
      </c>
      <c r="G88" s="520">
        <v>99976.723199999993</v>
      </c>
      <c r="H88" s="520">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885</v>
      </c>
      <c r="B89">
        <v>2030</v>
      </c>
      <c r="C89" t="s">
        <v>766</v>
      </c>
      <c r="D89" t="s">
        <v>1473</v>
      </c>
      <c r="E89" t="s">
        <v>2998</v>
      </c>
      <c r="F89">
        <v>433</v>
      </c>
      <c r="G89" s="520">
        <v>103968.94749999999</v>
      </c>
      <c r="H89" s="520">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885</v>
      </c>
      <c r="B90">
        <v>2030</v>
      </c>
      <c r="C90" t="s">
        <v>766</v>
      </c>
      <c r="D90" t="s">
        <v>1476</v>
      </c>
      <c r="E90" t="s">
        <v>2998</v>
      </c>
      <c r="F90">
        <v>578</v>
      </c>
      <c r="G90" s="520">
        <v>138838.75200000001</v>
      </c>
      <c r="H90" s="520">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885</v>
      </c>
      <c r="B91">
        <v>2030</v>
      </c>
      <c r="C91" t="s">
        <v>766</v>
      </c>
      <c r="D91" t="s">
        <v>930</v>
      </c>
      <c r="E91" t="s">
        <v>2998</v>
      </c>
      <c r="F91">
        <v>694</v>
      </c>
      <c r="G91" s="520">
        <v>166507.48800000001</v>
      </c>
      <c r="H91" s="520">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885</v>
      </c>
      <c r="B92">
        <v>2030</v>
      </c>
      <c r="C92" t="s">
        <v>766</v>
      </c>
      <c r="D92" t="s">
        <v>1475</v>
      </c>
      <c r="E92" t="s">
        <v>2998</v>
      </c>
      <c r="F92">
        <v>526</v>
      </c>
      <c r="G92" s="520">
        <v>126197.96980000001</v>
      </c>
      <c r="H92" s="520">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885</v>
      </c>
      <c r="B93">
        <v>2035</v>
      </c>
      <c r="C93" t="s">
        <v>766</v>
      </c>
      <c r="D93" t="s">
        <v>482</v>
      </c>
      <c r="E93" t="s">
        <v>2998</v>
      </c>
      <c r="F93">
        <v>355</v>
      </c>
      <c r="G93" s="520">
        <v>90615.317760000005</v>
      </c>
      <c r="H93" s="520">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885</v>
      </c>
      <c r="B94">
        <v>2035</v>
      </c>
      <c r="C94" t="s">
        <v>766</v>
      </c>
      <c r="D94" t="s">
        <v>1473</v>
      </c>
      <c r="E94" t="s">
        <v>2998</v>
      </c>
      <c r="F94">
        <v>364</v>
      </c>
      <c r="G94" s="520">
        <v>92983.535279999996</v>
      </c>
      <c r="H94" s="520">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885</v>
      </c>
      <c r="B95">
        <v>2035</v>
      </c>
      <c r="C95" t="s">
        <v>766</v>
      </c>
      <c r="D95" t="s">
        <v>1476</v>
      </c>
      <c r="E95" t="s">
        <v>2998</v>
      </c>
      <c r="F95">
        <v>490</v>
      </c>
      <c r="G95" s="520">
        <v>125291.0635</v>
      </c>
      <c r="H95" s="520">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885</v>
      </c>
      <c r="B96">
        <v>2035</v>
      </c>
      <c r="C96" t="s">
        <v>766</v>
      </c>
      <c r="D96" t="s">
        <v>930</v>
      </c>
      <c r="E96" t="s">
        <v>2998</v>
      </c>
      <c r="F96">
        <v>610</v>
      </c>
      <c r="G96" s="520">
        <v>155754.99069999999</v>
      </c>
      <c r="H96" s="520">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885</v>
      </c>
      <c r="B97">
        <v>2035</v>
      </c>
      <c r="C97" t="s">
        <v>766</v>
      </c>
      <c r="D97" t="s">
        <v>1475</v>
      </c>
      <c r="E97" t="s">
        <v>2998</v>
      </c>
      <c r="F97">
        <v>454</v>
      </c>
      <c r="G97" s="520">
        <v>115965.121</v>
      </c>
      <c r="H97" s="520">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885</v>
      </c>
      <c r="B98">
        <v>2050</v>
      </c>
      <c r="C98" t="s">
        <v>766</v>
      </c>
      <c r="D98" t="s">
        <v>482</v>
      </c>
      <c r="E98" t="s">
        <v>2998</v>
      </c>
      <c r="F98">
        <v>255</v>
      </c>
      <c r="G98" s="520">
        <v>75881.322719999996</v>
      </c>
      <c r="H98" s="520">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885</v>
      </c>
      <c r="B99">
        <v>2050</v>
      </c>
      <c r="C99" t="s">
        <v>766</v>
      </c>
      <c r="D99" t="s">
        <v>1473</v>
      </c>
      <c r="E99" t="s">
        <v>2998</v>
      </c>
      <c r="F99">
        <v>282</v>
      </c>
      <c r="G99" s="520">
        <v>84038.834879999995</v>
      </c>
      <c r="H99" s="520">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885</v>
      </c>
      <c r="B100">
        <v>2050</v>
      </c>
      <c r="C100" t="s">
        <v>766</v>
      </c>
      <c r="D100" t="s">
        <v>1476</v>
      </c>
      <c r="E100" t="s">
        <v>2998</v>
      </c>
      <c r="F100">
        <v>355</v>
      </c>
      <c r="G100" s="520">
        <v>105785.136</v>
      </c>
      <c r="H100" s="520">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885</v>
      </c>
      <c r="B101">
        <v>2050</v>
      </c>
      <c r="C101" t="s">
        <v>766</v>
      </c>
      <c r="D101" t="s">
        <v>930</v>
      </c>
      <c r="E101" t="s">
        <v>2998</v>
      </c>
      <c r="F101">
        <v>434</v>
      </c>
      <c r="G101" s="520">
        <v>129140.1403</v>
      </c>
      <c r="H101" s="520">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885</v>
      </c>
      <c r="B102">
        <v>2050</v>
      </c>
      <c r="C102" t="s">
        <v>766</v>
      </c>
      <c r="D102" t="s">
        <v>1475</v>
      </c>
      <c r="E102" t="s">
        <v>2998</v>
      </c>
      <c r="F102">
        <v>325</v>
      </c>
      <c r="G102" s="520">
        <v>96906.438720000006</v>
      </c>
      <c r="H102" s="520">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887</v>
      </c>
      <c r="B103">
        <v>2023</v>
      </c>
      <c r="C103" t="s">
        <v>766</v>
      </c>
      <c r="D103" t="s">
        <v>482</v>
      </c>
      <c r="E103" t="s">
        <v>2998</v>
      </c>
      <c r="F103">
        <v>22</v>
      </c>
      <c r="G103" s="520">
        <v>0</v>
      </c>
      <c r="H103" s="520">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887</v>
      </c>
      <c r="B104">
        <v>2023</v>
      </c>
      <c r="C104" t="s">
        <v>766</v>
      </c>
      <c r="D104" t="s">
        <v>1473</v>
      </c>
      <c r="E104" t="s">
        <v>2998</v>
      </c>
      <c r="F104">
        <v>22</v>
      </c>
      <c r="G104" s="520">
        <v>0</v>
      </c>
      <c r="H104" s="520">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887</v>
      </c>
      <c r="B105">
        <v>2023</v>
      </c>
      <c r="C105" t="s">
        <v>766</v>
      </c>
      <c r="D105" t="s">
        <v>1476</v>
      </c>
      <c r="E105" t="s">
        <v>2998</v>
      </c>
      <c r="F105">
        <v>22</v>
      </c>
      <c r="G105" s="520">
        <v>0</v>
      </c>
      <c r="H105" s="520">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887</v>
      </c>
      <c r="B106">
        <v>2023</v>
      </c>
      <c r="C106" t="s">
        <v>766</v>
      </c>
      <c r="D106" t="s">
        <v>930</v>
      </c>
      <c r="E106" t="s">
        <v>2998</v>
      </c>
      <c r="F106">
        <v>22</v>
      </c>
      <c r="G106" s="520">
        <v>0</v>
      </c>
      <c r="H106" s="520">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887</v>
      </c>
      <c r="B107">
        <v>2023</v>
      </c>
      <c r="C107" t="s">
        <v>766</v>
      </c>
      <c r="D107" t="s">
        <v>1475</v>
      </c>
      <c r="E107" t="s">
        <v>2998</v>
      </c>
      <c r="F107">
        <v>22</v>
      </c>
      <c r="G107" s="520">
        <v>0</v>
      </c>
      <c r="H107" s="520">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887</v>
      </c>
      <c r="B108">
        <v>2025</v>
      </c>
      <c r="C108" t="s">
        <v>766</v>
      </c>
      <c r="D108" t="s">
        <v>482</v>
      </c>
      <c r="E108" t="s">
        <v>2998</v>
      </c>
      <c r="F108">
        <v>22</v>
      </c>
      <c r="G108" s="520">
        <v>0</v>
      </c>
      <c r="H108" s="520">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887</v>
      </c>
      <c r="B109">
        <v>2025</v>
      </c>
      <c r="C109" t="s">
        <v>766</v>
      </c>
      <c r="D109" t="s">
        <v>1473</v>
      </c>
      <c r="E109" t="s">
        <v>2998</v>
      </c>
      <c r="F109">
        <v>22</v>
      </c>
      <c r="G109" s="520">
        <v>0</v>
      </c>
      <c r="H109" s="520">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887</v>
      </c>
      <c r="B110">
        <v>2025</v>
      </c>
      <c r="C110" t="s">
        <v>766</v>
      </c>
      <c r="D110" t="s">
        <v>1476</v>
      </c>
      <c r="E110" t="s">
        <v>2998</v>
      </c>
      <c r="F110">
        <v>22</v>
      </c>
      <c r="G110" s="520">
        <v>0</v>
      </c>
      <c r="H110" s="520">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887</v>
      </c>
      <c r="B111">
        <v>2025</v>
      </c>
      <c r="C111" t="s">
        <v>766</v>
      </c>
      <c r="D111" t="s">
        <v>930</v>
      </c>
      <c r="E111" t="s">
        <v>2998</v>
      </c>
      <c r="F111">
        <v>22</v>
      </c>
      <c r="G111" s="520">
        <v>0</v>
      </c>
      <c r="H111" s="520">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887</v>
      </c>
      <c r="B112">
        <v>2025</v>
      </c>
      <c r="C112" t="s">
        <v>766</v>
      </c>
      <c r="D112" t="s">
        <v>1475</v>
      </c>
      <c r="E112" t="s">
        <v>2998</v>
      </c>
      <c r="F112">
        <v>22</v>
      </c>
      <c r="G112" s="520">
        <v>0</v>
      </c>
      <c r="H112" s="520">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887</v>
      </c>
      <c r="B113">
        <v>2030</v>
      </c>
      <c r="C113" t="s">
        <v>766</v>
      </c>
      <c r="D113" t="s">
        <v>482</v>
      </c>
      <c r="E113" t="s">
        <v>2998</v>
      </c>
      <c r="F113">
        <v>22</v>
      </c>
      <c r="G113" s="520">
        <v>0</v>
      </c>
      <c r="H113" s="520">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887</v>
      </c>
      <c r="B114">
        <v>2030</v>
      </c>
      <c r="C114" t="s">
        <v>766</v>
      </c>
      <c r="D114" t="s">
        <v>1473</v>
      </c>
      <c r="E114" t="s">
        <v>2998</v>
      </c>
      <c r="F114">
        <v>22</v>
      </c>
      <c r="G114" s="520">
        <v>0</v>
      </c>
      <c r="H114" s="520">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887</v>
      </c>
      <c r="B115">
        <v>2030</v>
      </c>
      <c r="C115" t="s">
        <v>766</v>
      </c>
      <c r="D115" t="s">
        <v>1476</v>
      </c>
      <c r="E115" t="s">
        <v>2998</v>
      </c>
      <c r="F115">
        <v>22</v>
      </c>
      <c r="G115" s="520">
        <v>0</v>
      </c>
      <c r="H115" s="520">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887</v>
      </c>
      <c r="B116">
        <v>2030</v>
      </c>
      <c r="C116" t="s">
        <v>766</v>
      </c>
      <c r="D116" t="s">
        <v>930</v>
      </c>
      <c r="E116" t="s">
        <v>2998</v>
      </c>
      <c r="F116">
        <v>22</v>
      </c>
      <c r="G116" s="520">
        <v>0</v>
      </c>
      <c r="H116" s="520">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887</v>
      </c>
      <c r="B117">
        <v>2030</v>
      </c>
      <c r="C117" t="s">
        <v>766</v>
      </c>
      <c r="D117" t="s">
        <v>1475</v>
      </c>
      <c r="E117" t="s">
        <v>2998</v>
      </c>
      <c r="F117">
        <v>22</v>
      </c>
      <c r="G117" s="520">
        <v>0</v>
      </c>
      <c r="H117" s="520">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887</v>
      </c>
      <c r="B118">
        <v>2035</v>
      </c>
      <c r="C118" t="s">
        <v>766</v>
      </c>
      <c r="D118" t="s">
        <v>482</v>
      </c>
      <c r="E118" t="s">
        <v>2998</v>
      </c>
      <c r="F118">
        <v>22</v>
      </c>
      <c r="G118" s="520">
        <v>0</v>
      </c>
      <c r="H118" s="520">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887</v>
      </c>
      <c r="B119">
        <v>2035</v>
      </c>
      <c r="C119" t="s">
        <v>766</v>
      </c>
      <c r="D119" t="s">
        <v>1473</v>
      </c>
      <c r="E119" t="s">
        <v>2998</v>
      </c>
      <c r="F119">
        <v>22</v>
      </c>
      <c r="G119" s="520">
        <v>0</v>
      </c>
      <c r="H119" s="520">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887</v>
      </c>
      <c r="B120">
        <v>2035</v>
      </c>
      <c r="C120" t="s">
        <v>766</v>
      </c>
      <c r="D120" t="s">
        <v>1476</v>
      </c>
      <c r="E120" t="s">
        <v>2998</v>
      </c>
      <c r="F120">
        <v>22</v>
      </c>
      <c r="G120" s="520">
        <v>0</v>
      </c>
      <c r="H120" s="520">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887</v>
      </c>
      <c r="B121">
        <v>2035</v>
      </c>
      <c r="C121" t="s">
        <v>766</v>
      </c>
      <c r="D121" t="s">
        <v>930</v>
      </c>
      <c r="E121" t="s">
        <v>2998</v>
      </c>
      <c r="F121">
        <v>22</v>
      </c>
      <c r="G121" s="520">
        <v>0</v>
      </c>
      <c r="H121" s="520">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887</v>
      </c>
      <c r="B122">
        <v>2035</v>
      </c>
      <c r="C122" t="s">
        <v>766</v>
      </c>
      <c r="D122" t="s">
        <v>1475</v>
      </c>
      <c r="E122" t="s">
        <v>2998</v>
      </c>
      <c r="F122">
        <v>22</v>
      </c>
      <c r="G122" s="520">
        <v>0</v>
      </c>
      <c r="H122" s="520">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887</v>
      </c>
      <c r="B123">
        <v>2050</v>
      </c>
      <c r="C123" t="s">
        <v>766</v>
      </c>
      <c r="D123" t="s">
        <v>482</v>
      </c>
      <c r="E123" t="s">
        <v>2998</v>
      </c>
      <c r="F123">
        <v>22</v>
      </c>
      <c r="G123" s="520">
        <v>0</v>
      </c>
      <c r="H123" s="520">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887</v>
      </c>
      <c r="B124">
        <v>2050</v>
      </c>
      <c r="C124" t="s">
        <v>766</v>
      </c>
      <c r="D124" t="s">
        <v>1473</v>
      </c>
      <c r="E124" t="s">
        <v>2998</v>
      </c>
      <c r="F124">
        <v>22</v>
      </c>
      <c r="G124" s="520">
        <v>0</v>
      </c>
      <c r="H124" s="520">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887</v>
      </c>
      <c r="B125">
        <v>2050</v>
      </c>
      <c r="C125" t="s">
        <v>766</v>
      </c>
      <c r="D125" t="s">
        <v>1476</v>
      </c>
      <c r="E125" t="s">
        <v>2998</v>
      </c>
      <c r="F125">
        <v>22</v>
      </c>
      <c r="G125" s="520">
        <v>0</v>
      </c>
      <c r="H125" s="520">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887</v>
      </c>
      <c r="B126">
        <v>2050</v>
      </c>
      <c r="C126" t="s">
        <v>766</v>
      </c>
      <c r="D126" t="s">
        <v>930</v>
      </c>
      <c r="E126" t="s">
        <v>2998</v>
      </c>
      <c r="F126">
        <v>22</v>
      </c>
      <c r="G126" s="520">
        <v>0</v>
      </c>
      <c r="H126" s="520">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887</v>
      </c>
      <c r="B127">
        <v>2050</v>
      </c>
      <c r="C127" t="s">
        <v>766</v>
      </c>
      <c r="D127" t="s">
        <v>1475</v>
      </c>
      <c r="E127" t="s">
        <v>2998</v>
      </c>
      <c r="F127">
        <v>22</v>
      </c>
      <c r="G127" s="520">
        <v>0</v>
      </c>
      <c r="H127" s="520">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889</v>
      </c>
      <c r="B128">
        <v>2023</v>
      </c>
      <c r="C128" t="s">
        <v>766</v>
      </c>
      <c r="D128" t="s">
        <v>482</v>
      </c>
      <c r="E128" t="s">
        <v>2998</v>
      </c>
      <c r="F128">
        <v>22</v>
      </c>
      <c r="G128" s="520">
        <v>0</v>
      </c>
      <c r="H128" s="520">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889</v>
      </c>
      <c r="B129">
        <v>2023</v>
      </c>
      <c r="C129" t="s">
        <v>766</v>
      </c>
      <c r="D129" t="s">
        <v>1473</v>
      </c>
      <c r="E129" t="s">
        <v>2998</v>
      </c>
      <c r="F129">
        <v>22</v>
      </c>
      <c r="G129" s="520">
        <v>0</v>
      </c>
      <c r="H129" s="520">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889</v>
      </c>
      <c r="B130">
        <v>2023</v>
      </c>
      <c r="C130" t="s">
        <v>766</v>
      </c>
      <c r="D130" t="s">
        <v>1476</v>
      </c>
      <c r="E130" t="s">
        <v>2998</v>
      </c>
      <c r="F130">
        <v>22</v>
      </c>
      <c r="G130" s="520">
        <v>0</v>
      </c>
      <c r="H130" s="520">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889</v>
      </c>
      <c r="B131">
        <v>2023</v>
      </c>
      <c r="C131" t="s">
        <v>766</v>
      </c>
      <c r="D131" t="s">
        <v>930</v>
      </c>
      <c r="E131" t="s">
        <v>2998</v>
      </c>
      <c r="F131">
        <v>22</v>
      </c>
      <c r="G131" s="520">
        <v>0</v>
      </c>
      <c r="H131" s="520">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889</v>
      </c>
      <c r="B132">
        <v>2023</v>
      </c>
      <c r="C132" t="s">
        <v>766</v>
      </c>
      <c r="D132" t="s">
        <v>1475</v>
      </c>
      <c r="E132" t="s">
        <v>2998</v>
      </c>
      <c r="F132">
        <v>22</v>
      </c>
      <c r="G132" s="520">
        <v>0</v>
      </c>
      <c r="H132" s="520">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889</v>
      </c>
      <c r="B133">
        <v>2025</v>
      </c>
      <c r="C133" t="s">
        <v>766</v>
      </c>
      <c r="D133" t="s">
        <v>482</v>
      </c>
      <c r="E133" t="s">
        <v>2998</v>
      </c>
      <c r="F133">
        <v>22</v>
      </c>
      <c r="G133" s="520">
        <v>0</v>
      </c>
      <c r="H133" s="520">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889</v>
      </c>
      <c r="B134">
        <v>2025</v>
      </c>
      <c r="C134" t="s">
        <v>766</v>
      </c>
      <c r="D134" t="s">
        <v>1473</v>
      </c>
      <c r="E134" t="s">
        <v>2998</v>
      </c>
      <c r="F134">
        <v>22</v>
      </c>
      <c r="G134" s="520">
        <v>0</v>
      </c>
      <c r="H134" s="520">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889</v>
      </c>
      <c r="B135">
        <v>2025</v>
      </c>
      <c r="C135" t="s">
        <v>766</v>
      </c>
      <c r="D135" t="s">
        <v>1476</v>
      </c>
      <c r="E135" t="s">
        <v>2998</v>
      </c>
      <c r="F135">
        <v>22</v>
      </c>
      <c r="G135" s="520">
        <v>0</v>
      </c>
      <c r="H135" s="520">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889</v>
      </c>
      <c r="B136">
        <v>2025</v>
      </c>
      <c r="C136" t="s">
        <v>766</v>
      </c>
      <c r="D136" t="s">
        <v>930</v>
      </c>
      <c r="E136" t="s">
        <v>2998</v>
      </c>
      <c r="F136">
        <v>22</v>
      </c>
      <c r="G136" s="520">
        <v>0</v>
      </c>
      <c r="H136" s="520">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889</v>
      </c>
      <c r="B137">
        <v>2025</v>
      </c>
      <c r="C137" t="s">
        <v>766</v>
      </c>
      <c r="D137" t="s">
        <v>1475</v>
      </c>
      <c r="E137" t="s">
        <v>2998</v>
      </c>
      <c r="F137">
        <v>22</v>
      </c>
      <c r="G137" s="520">
        <v>0</v>
      </c>
      <c r="H137" s="520">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889</v>
      </c>
      <c r="B138">
        <v>2030</v>
      </c>
      <c r="C138" t="s">
        <v>766</v>
      </c>
      <c r="D138" t="s">
        <v>482</v>
      </c>
      <c r="E138" t="s">
        <v>2998</v>
      </c>
      <c r="F138">
        <v>22</v>
      </c>
      <c r="G138" s="520">
        <v>0</v>
      </c>
      <c r="H138" s="520">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889</v>
      </c>
      <c r="B139">
        <v>2030</v>
      </c>
      <c r="C139" t="s">
        <v>766</v>
      </c>
      <c r="D139" t="s">
        <v>1473</v>
      </c>
      <c r="E139" t="s">
        <v>2998</v>
      </c>
      <c r="F139">
        <v>22</v>
      </c>
      <c r="G139" s="520">
        <v>0</v>
      </c>
      <c r="H139" s="520">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889</v>
      </c>
      <c r="B140">
        <v>2030</v>
      </c>
      <c r="C140" t="s">
        <v>766</v>
      </c>
      <c r="D140" t="s">
        <v>1476</v>
      </c>
      <c r="E140" t="s">
        <v>2998</v>
      </c>
      <c r="F140">
        <v>22</v>
      </c>
      <c r="G140" s="520">
        <v>0</v>
      </c>
      <c r="H140" s="520">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889</v>
      </c>
      <c r="B141">
        <v>2030</v>
      </c>
      <c r="C141" t="s">
        <v>766</v>
      </c>
      <c r="D141" t="s">
        <v>930</v>
      </c>
      <c r="E141" t="s">
        <v>2998</v>
      </c>
      <c r="F141">
        <v>22</v>
      </c>
      <c r="G141" s="520">
        <v>0</v>
      </c>
      <c r="H141" s="520">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889</v>
      </c>
      <c r="B142">
        <v>2030</v>
      </c>
      <c r="C142" t="s">
        <v>766</v>
      </c>
      <c r="D142" t="s">
        <v>1475</v>
      </c>
      <c r="E142" t="s">
        <v>2998</v>
      </c>
      <c r="F142">
        <v>22</v>
      </c>
      <c r="G142" s="520">
        <v>0</v>
      </c>
      <c r="H142" s="520">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889</v>
      </c>
      <c r="B143">
        <v>2035</v>
      </c>
      <c r="C143" t="s">
        <v>766</v>
      </c>
      <c r="D143" t="s">
        <v>482</v>
      </c>
      <c r="E143" t="s">
        <v>2998</v>
      </c>
      <c r="F143">
        <v>22</v>
      </c>
      <c r="G143" s="520">
        <v>0</v>
      </c>
      <c r="H143" s="520">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889</v>
      </c>
      <c r="B144">
        <v>2035</v>
      </c>
      <c r="C144" t="s">
        <v>766</v>
      </c>
      <c r="D144" t="s">
        <v>1473</v>
      </c>
      <c r="E144" t="s">
        <v>2998</v>
      </c>
      <c r="F144">
        <v>22</v>
      </c>
      <c r="G144" s="520">
        <v>0</v>
      </c>
      <c r="H144" s="520">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889</v>
      </c>
      <c r="B145">
        <v>2035</v>
      </c>
      <c r="C145" t="s">
        <v>766</v>
      </c>
      <c r="D145" t="s">
        <v>1476</v>
      </c>
      <c r="E145" t="s">
        <v>2998</v>
      </c>
      <c r="F145">
        <v>22</v>
      </c>
      <c r="G145" s="520">
        <v>0</v>
      </c>
      <c r="H145" s="520">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889</v>
      </c>
      <c r="B146">
        <v>2035</v>
      </c>
      <c r="C146" t="s">
        <v>766</v>
      </c>
      <c r="D146" t="s">
        <v>930</v>
      </c>
      <c r="E146" t="s">
        <v>2998</v>
      </c>
      <c r="F146">
        <v>22</v>
      </c>
      <c r="G146" s="520">
        <v>0</v>
      </c>
      <c r="H146" s="520">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889</v>
      </c>
      <c r="B147">
        <v>2035</v>
      </c>
      <c r="C147" t="s">
        <v>766</v>
      </c>
      <c r="D147" t="s">
        <v>1475</v>
      </c>
      <c r="E147" t="s">
        <v>2998</v>
      </c>
      <c r="F147">
        <v>22</v>
      </c>
      <c r="G147" s="520">
        <v>0</v>
      </c>
      <c r="H147" s="520">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889</v>
      </c>
      <c r="B148">
        <v>2050</v>
      </c>
      <c r="C148" t="s">
        <v>766</v>
      </c>
      <c r="D148" t="s">
        <v>482</v>
      </c>
      <c r="E148" t="s">
        <v>2998</v>
      </c>
      <c r="F148">
        <v>22</v>
      </c>
      <c r="G148" s="520">
        <v>0</v>
      </c>
      <c r="H148" s="520">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889</v>
      </c>
      <c r="B149">
        <v>2050</v>
      </c>
      <c r="C149" t="s">
        <v>766</v>
      </c>
      <c r="D149" t="s">
        <v>1473</v>
      </c>
      <c r="E149" t="s">
        <v>2998</v>
      </c>
      <c r="F149">
        <v>22</v>
      </c>
      <c r="G149" s="520">
        <v>0</v>
      </c>
      <c r="H149" s="520">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889</v>
      </c>
      <c r="B150">
        <v>2050</v>
      </c>
      <c r="C150" t="s">
        <v>766</v>
      </c>
      <c r="D150" t="s">
        <v>1476</v>
      </c>
      <c r="E150" t="s">
        <v>2998</v>
      </c>
      <c r="F150">
        <v>22</v>
      </c>
      <c r="G150" s="520">
        <v>0</v>
      </c>
      <c r="H150" s="520">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889</v>
      </c>
      <c r="B151">
        <v>2050</v>
      </c>
      <c r="C151" t="s">
        <v>766</v>
      </c>
      <c r="D151" t="s">
        <v>930</v>
      </c>
      <c r="E151" t="s">
        <v>2998</v>
      </c>
      <c r="F151">
        <v>22</v>
      </c>
      <c r="G151" s="520">
        <v>0</v>
      </c>
      <c r="H151" s="520">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889</v>
      </c>
      <c r="B152">
        <v>2050</v>
      </c>
      <c r="C152" t="s">
        <v>766</v>
      </c>
      <c r="D152" t="s">
        <v>1475</v>
      </c>
      <c r="E152" t="s">
        <v>2998</v>
      </c>
      <c r="F152">
        <v>22</v>
      </c>
      <c r="G152" s="520">
        <v>0</v>
      </c>
      <c r="H152" s="520">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890</v>
      </c>
      <c r="B153">
        <v>2023</v>
      </c>
      <c r="C153" t="s">
        <v>766</v>
      </c>
      <c r="D153" t="s">
        <v>482</v>
      </c>
      <c r="E153" t="s">
        <v>2998</v>
      </c>
      <c r="F153">
        <v>22</v>
      </c>
      <c r="G153" s="520">
        <v>0</v>
      </c>
      <c r="H153" s="520">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890</v>
      </c>
      <c r="B154">
        <v>2023</v>
      </c>
      <c r="C154" t="s">
        <v>766</v>
      </c>
      <c r="D154" t="s">
        <v>1473</v>
      </c>
      <c r="E154" t="s">
        <v>2998</v>
      </c>
      <c r="F154">
        <v>22</v>
      </c>
      <c r="G154" s="520">
        <v>0</v>
      </c>
      <c r="H154" s="520">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890</v>
      </c>
      <c r="B155">
        <v>2023</v>
      </c>
      <c r="C155" t="s">
        <v>766</v>
      </c>
      <c r="D155" t="s">
        <v>1476</v>
      </c>
      <c r="E155" t="s">
        <v>2998</v>
      </c>
      <c r="F155">
        <v>22</v>
      </c>
      <c r="G155" s="520">
        <v>0</v>
      </c>
      <c r="H155" s="520">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890</v>
      </c>
      <c r="B156">
        <v>2023</v>
      </c>
      <c r="C156" t="s">
        <v>766</v>
      </c>
      <c r="D156" t="s">
        <v>930</v>
      </c>
      <c r="E156" t="s">
        <v>2998</v>
      </c>
      <c r="F156">
        <v>22</v>
      </c>
      <c r="G156" s="520">
        <v>0</v>
      </c>
      <c r="H156" s="520">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890</v>
      </c>
      <c r="B157">
        <v>2023</v>
      </c>
      <c r="C157" t="s">
        <v>766</v>
      </c>
      <c r="D157" t="s">
        <v>1475</v>
      </c>
      <c r="E157" t="s">
        <v>2998</v>
      </c>
      <c r="F157">
        <v>22</v>
      </c>
      <c r="G157" s="520">
        <v>0</v>
      </c>
      <c r="H157" s="520">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890</v>
      </c>
      <c r="B158">
        <v>2025</v>
      </c>
      <c r="C158" t="s">
        <v>766</v>
      </c>
      <c r="D158" t="s">
        <v>482</v>
      </c>
      <c r="E158" t="s">
        <v>2998</v>
      </c>
      <c r="F158">
        <v>22</v>
      </c>
      <c r="G158" s="520">
        <v>0</v>
      </c>
      <c r="H158" s="520">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890</v>
      </c>
      <c r="B159">
        <v>2025</v>
      </c>
      <c r="C159" t="s">
        <v>766</v>
      </c>
      <c r="D159" t="s">
        <v>1473</v>
      </c>
      <c r="E159" t="s">
        <v>2998</v>
      </c>
      <c r="F159">
        <v>22</v>
      </c>
      <c r="G159" s="520">
        <v>0</v>
      </c>
      <c r="H159" s="520">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890</v>
      </c>
      <c r="B160">
        <v>2025</v>
      </c>
      <c r="C160" t="s">
        <v>766</v>
      </c>
      <c r="D160" t="s">
        <v>1476</v>
      </c>
      <c r="E160" t="s">
        <v>2998</v>
      </c>
      <c r="F160">
        <v>22</v>
      </c>
      <c r="G160" s="520">
        <v>0</v>
      </c>
      <c r="H160" s="520">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890</v>
      </c>
      <c r="B161">
        <v>2025</v>
      </c>
      <c r="C161" t="s">
        <v>766</v>
      </c>
      <c r="D161" t="s">
        <v>930</v>
      </c>
      <c r="E161" t="s">
        <v>2998</v>
      </c>
      <c r="F161">
        <v>22</v>
      </c>
      <c r="G161" s="520">
        <v>0</v>
      </c>
      <c r="H161" s="520">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890</v>
      </c>
      <c r="B162">
        <v>2025</v>
      </c>
      <c r="C162" t="s">
        <v>766</v>
      </c>
      <c r="D162" t="s">
        <v>1475</v>
      </c>
      <c r="E162" t="s">
        <v>2998</v>
      </c>
      <c r="F162">
        <v>22</v>
      </c>
      <c r="G162" s="520">
        <v>0</v>
      </c>
      <c r="H162" s="520">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890</v>
      </c>
      <c r="B163">
        <v>2030</v>
      </c>
      <c r="C163" t="s">
        <v>766</v>
      </c>
      <c r="D163" t="s">
        <v>482</v>
      </c>
      <c r="E163" t="s">
        <v>2998</v>
      </c>
      <c r="F163">
        <v>22</v>
      </c>
      <c r="G163" s="520">
        <v>0</v>
      </c>
      <c r="H163" s="520">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890</v>
      </c>
      <c r="B164">
        <v>2030</v>
      </c>
      <c r="C164" t="s">
        <v>766</v>
      </c>
      <c r="D164" t="s">
        <v>1473</v>
      </c>
      <c r="E164" t="s">
        <v>2998</v>
      </c>
      <c r="F164">
        <v>22</v>
      </c>
      <c r="G164" s="520">
        <v>0</v>
      </c>
      <c r="H164" s="520">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890</v>
      </c>
      <c r="B165">
        <v>2030</v>
      </c>
      <c r="C165" t="s">
        <v>766</v>
      </c>
      <c r="D165" t="s">
        <v>1476</v>
      </c>
      <c r="E165" t="s">
        <v>2998</v>
      </c>
      <c r="F165">
        <v>22</v>
      </c>
      <c r="G165" s="520">
        <v>0</v>
      </c>
      <c r="H165" s="520">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890</v>
      </c>
      <c r="B166">
        <v>2030</v>
      </c>
      <c r="C166" t="s">
        <v>766</v>
      </c>
      <c r="D166" t="s">
        <v>930</v>
      </c>
      <c r="E166" t="s">
        <v>2998</v>
      </c>
      <c r="F166">
        <v>22</v>
      </c>
      <c r="G166" s="520">
        <v>0</v>
      </c>
      <c r="H166" s="520">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890</v>
      </c>
      <c r="B167">
        <v>2030</v>
      </c>
      <c r="C167" t="s">
        <v>766</v>
      </c>
      <c r="D167" t="s">
        <v>1475</v>
      </c>
      <c r="E167" t="s">
        <v>2998</v>
      </c>
      <c r="F167">
        <v>22</v>
      </c>
      <c r="G167" s="520">
        <v>0</v>
      </c>
      <c r="H167" s="520">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890</v>
      </c>
      <c r="B168">
        <v>2035</v>
      </c>
      <c r="C168" t="s">
        <v>766</v>
      </c>
      <c r="D168" t="s">
        <v>482</v>
      </c>
      <c r="E168" t="s">
        <v>2998</v>
      </c>
      <c r="F168">
        <v>22</v>
      </c>
      <c r="G168" s="520">
        <v>0</v>
      </c>
      <c r="H168" s="520">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890</v>
      </c>
      <c r="B169">
        <v>2035</v>
      </c>
      <c r="C169" t="s">
        <v>766</v>
      </c>
      <c r="D169" t="s">
        <v>1473</v>
      </c>
      <c r="E169" t="s">
        <v>2998</v>
      </c>
      <c r="F169">
        <v>22</v>
      </c>
      <c r="G169" s="520">
        <v>0</v>
      </c>
      <c r="H169" s="520">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890</v>
      </c>
      <c r="B170">
        <v>2035</v>
      </c>
      <c r="C170" t="s">
        <v>766</v>
      </c>
      <c r="D170" t="s">
        <v>1476</v>
      </c>
      <c r="E170" t="s">
        <v>2998</v>
      </c>
      <c r="F170">
        <v>22</v>
      </c>
      <c r="G170" s="520">
        <v>0</v>
      </c>
      <c r="H170" s="520">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890</v>
      </c>
      <c r="B171">
        <v>2035</v>
      </c>
      <c r="C171" t="s">
        <v>766</v>
      </c>
      <c r="D171" t="s">
        <v>930</v>
      </c>
      <c r="E171" t="s">
        <v>2998</v>
      </c>
      <c r="F171">
        <v>22</v>
      </c>
      <c r="G171" s="520">
        <v>0</v>
      </c>
      <c r="H171" s="520">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890</v>
      </c>
      <c r="B172">
        <v>2035</v>
      </c>
      <c r="C172" t="s">
        <v>766</v>
      </c>
      <c r="D172" t="s">
        <v>1475</v>
      </c>
      <c r="E172" t="s">
        <v>2998</v>
      </c>
      <c r="F172">
        <v>22</v>
      </c>
      <c r="G172" s="520">
        <v>0</v>
      </c>
      <c r="H172" s="520">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890</v>
      </c>
      <c r="B173">
        <v>2050</v>
      </c>
      <c r="C173" t="s">
        <v>766</v>
      </c>
      <c r="D173" t="s">
        <v>482</v>
      </c>
      <c r="E173" t="s">
        <v>2998</v>
      </c>
      <c r="F173">
        <v>22</v>
      </c>
      <c r="G173" s="520">
        <v>0</v>
      </c>
      <c r="H173" s="520">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890</v>
      </c>
      <c r="B174">
        <v>2050</v>
      </c>
      <c r="C174" t="s">
        <v>766</v>
      </c>
      <c r="D174" t="s">
        <v>1473</v>
      </c>
      <c r="E174" t="s">
        <v>2998</v>
      </c>
      <c r="F174">
        <v>22</v>
      </c>
      <c r="G174" s="520">
        <v>0</v>
      </c>
      <c r="H174" s="520">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890</v>
      </c>
      <c r="B175">
        <v>2050</v>
      </c>
      <c r="C175" t="s">
        <v>766</v>
      </c>
      <c r="D175" t="s">
        <v>1476</v>
      </c>
      <c r="E175" t="s">
        <v>2998</v>
      </c>
      <c r="F175">
        <v>22</v>
      </c>
      <c r="G175" s="520">
        <v>0</v>
      </c>
      <c r="H175" s="520">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890</v>
      </c>
      <c r="B176">
        <v>2050</v>
      </c>
      <c r="C176" t="s">
        <v>766</v>
      </c>
      <c r="D176" t="s">
        <v>930</v>
      </c>
      <c r="E176" t="s">
        <v>2998</v>
      </c>
      <c r="F176">
        <v>22</v>
      </c>
      <c r="G176" s="520">
        <v>0</v>
      </c>
      <c r="H176" s="520">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890</v>
      </c>
      <c r="B177">
        <v>2050</v>
      </c>
      <c r="C177" t="s">
        <v>766</v>
      </c>
      <c r="D177" t="s">
        <v>1475</v>
      </c>
      <c r="E177" t="s">
        <v>2998</v>
      </c>
      <c r="F177">
        <v>22</v>
      </c>
      <c r="G177" s="520">
        <v>0</v>
      </c>
      <c r="H177" s="520">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2999</v>
      </c>
      <c r="B178">
        <v>2023</v>
      </c>
      <c r="C178" t="s">
        <v>766</v>
      </c>
      <c r="D178" t="s">
        <v>482</v>
      </c>
      <c r="E178" t="s">
        <v>2998</v>
      </c>
      <c r="F178">
        <v>96</v>
      </c>
      <c r="G178" s="520">
        <v>11310.5592</v>
      </c>
      <c r="H178" s="520">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2999</v>
      </c>
      <c r="B179">
        <v>2023</v>
      </c>
      <c r="C179" t="s">
        <v>766</v>
      </c>
      <c r="D179" t="s">
        <v>1473</v>
      </c>
      <c r="E179" t="s">
        <v>2998</v>
      </c>
      <c r="F179">
        <v>102</v>
      </c>
      <c r="G179" s="520">
        <v>11995.084800000001</v>
      </c>
      <c r="H179" s="520">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2999</v>
      </c>
      <c r="B180">
        <v>2023</v>
      </c>
      <c r="C180" t="s">
        <v>766</v>
      </c>
      <c r="D180" t="s">
        <v>1476</v>
      </c>
      <c r="E180" t="s">
        <v>2998</v>
      </c>
      <c r="F180">
        <v>133</v>
      </c>
      <c r="G180" s="520">
        <v>15683.181119999999</v>
      </c>
      <c r="H180" s="520">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2999</v>
      </c>
      <c r="B181">
        <v>2023</v>
      </c>
      <c r="C181" t="s">
        <v>766</v>
      </c>
      <c r="D181" t="s">
        <v>930</v>
      </c>
      <c r="E181" t="s">
        <v>2998</v>
      </c>
      <c r="F181">
        <v>163</v>
      </c>
      <c r="G181" s="520">
        <v>19295.204399999999</v>
      </c>
      <c r="H181" s="520">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2999</v>
      </c>
      <c r="B182">
        <v>2023</v>
      </c>
      <c r="C182" t="s">
        <v>766</v>
      </c>
      <c r="D182" t="s">
        <v>1475</v>
      </c>
      <c r="E182" t="s">
        <v>2998</v>
      </c>
      <c r="F182">
        <v>122</v>
      </c>
      <c r="G182" s="520">
        <v>14373.778319999999</v>
      </c>
      <c r="H182" s="520">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2999</v>
      </c>
      <c r="B183">
        <v>2025</v>
      </c>
      <c r="C183" t="s">
        <v>766</v>
      </c>
      <c r="D183" t="s">
        <v>482</v>
      </c>
      <c r="E183" t="s">
        <v>2998</v>
      </c>
      <c r="F183">
        <v>83</v>
      </c>
      <c r="G183" s="520">
        <v>10829.5488</v>
      </c>
      <c r="H183" s="520">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2999</v>
      </c>
      <c r="B184">
        <v>2025</v>
      </c>
      <c r="C184" t="s">
        <v>766</v>
      </c>
      <c r="D184" t="s">
        <v>1473</v>
      </c>
      <c r="E184" t="s">
        <v>2998</v>
      </c>
      <c r="F184">
        <v>88</v>
      </c>
      <c r="G184" s="520">
        <v>11499.4728</v>
      </c>
      <c r="H184" s="520">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2999</v>
      </c>
      <c r="B185">
        <v>2025</v>
      </c>
      <c r="C185" t="s">
        <v>766</v>
      </c>
      <c r="D185" t="s">
        <v>1476</v>
      </c>
      <c r="E185" t="s">
        <v>2998</v>
      </c>
      <c r="F185">
        <v>115</v>
      </c>
      <c r="G185" s="520">
        <v>15000.52608</v>
      </c>
      <c r="H185" s="520">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2999</v>
      </c>
      <c r="B186">
        <v>2025</v>
      </c>
      <c r="C186" t="s">
        <v>766</v>
      </c>
      <c r="D186" t="s">
        <v>930</v>
      </c>
      <c r="E186" t="s">
        <v>2998</v>
      </c>
      <c r="F186">
        <v>142</v>
      </c>
      <c r="G186" s="520">
        <v>18433.753199999999</v>
      </c>
      <c r="H186" s="520">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2999</v>
      </c>
      <c r="B187">
        <v>2025</v>
      </c>
      <c r="C187" t="s">
        <v>766</v>
      </c>
      <c r="D187" t="s">
        <v>1475</v>
      </c>
      <c r="E187" t="s">
        <v>2998</v>
      </c>
      <c r="F187">
        <v>106</v>
      </c>
      <c r="G187" s="520">
        <v>13750.76736</v>
      </c>
      <c r="H187" s="520">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2999</v>
      </c>
      <c r="B188">
        <v>2030</v>
      </c>
      <c r="C188" t="s">
        <v>766</v>
      </c>
      <c r="D188" t="s">
        <v>482</v>
      </c>
      <c r="E188" t="s">
        <v>2998</v>
      </c>
      <c r="F188">
        <v>63</v>
      </c>
      <c r="G188" s="520">
        <v>10060.264800000001</v>
      </c>
      <c r="H188" s="520">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2999</v>
      </c>
      <c r="B189">
        <v>2030</v>
      </c>
      <c r="C189" t="s">
        <v>766</v>
      </c>
      <c r="D189" t="s">
        <v>1473</v>
      </c>
      <c r="E189" t="s">
        <v>2998</v>
      </c>
      <c r="F189">
        <v>67</v>
      </c>
      <c r="G189" s="520">
        <v>10671.5664</v>
      </c>
      <c r="H189" s="520">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2999</v>
      </c>
      <c r="B190">
        <v>2030</v>
      </c>
      <c r="C190" t="s">
        <v>766</v>
      </c>
      <c r="D190" t="s">
        <v>1476</v>
      </c>
      <c r="E190" t="s">
        <v>2998</v>
      </c>
      <c r="F190">
        <v>87</v>
      </c>
      <c r="G190" s="520">
        <v>13961.756160000001</v>
      </c>
      <c r="H190" s="520">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2999</v>
      </c>
      <c r="B191">
        <v>2030</v>
      </c>
      <c r="C191" t="s">
        <v>766</v>
      </c>
      <c r="D191" t="s">
        <v>930</v>
      </c>
      <c r="E191" t="s">
        <v>2998</v>
      </c>
      <c r="F191">
        <v>107</v>
      </c>
      <c r="G191" s="520">
        <v>17154.00288</v>
      </c>
      <c r="H191" s="520">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2999</v>
      </c>
      <c r="B192">
        <v>2030</v>
      </c>
      <c r="C192" t="s">
        <v>766</v>
      </c>
      <c r="D192" t="s">
        <v>1475</v>
      </c>
      <c r="E192" t="s">
        <v>2998</v>
      </c>
      <c r="F192">
        <v>80</v>
      </c>
      <c r="G192" s="520">
        <v>12784.024799999999</v>
      </c>
      <c r="H192" s="520">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2999</v>
      </c>
      <c r="B193">
        <v>2035</v>
      </c>
      <c r="C193" t="s">
        <v>766</v>
      </c>
      <c r="D193" t="s">
        <v>482</v>
      </c>
      <c r="E193" t="s">
        <v>2998</v>
      </c>
      <c r="F193">
        <v>54</v>
      </c>
      <c r="G193" s="520">
        <v>9258.8616000000002</v>
      </c>
      <c r="H193" s="520">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2999</v>
      </c>
      <c r="B194">
        <v>2035</v>
      </c>
      <c r="C194" t="s">
        <v>766</v>
      </c>
      <c r="D194" t="s">
        <v>1473</v>
      </c>
      <c r="E194" t="s">
        <v>2998</v>
      </c>
      <c r="F194">
        <v>58</v>
      </c>
      <c r="G194" s="520">
        <v>9826.8335999999999</v>
      </c>
      <c r="H194" s="520">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2999</v>
      </c>
      <c r="B195">
        <v>2035</v>
      </c>
      <c r="C195" t="s">
        <v>766</v>
      </c>
      <c r="D195" t="s">
        <v>1476</v>
      </c>
      <c r="E195" t="s">
        <v>2998</v>
      </c>
      <c r="F195">
        <v>75</v>
      </c>
      <c r="G195" s="520">
        <v>12774.002399999999</v>
      </c>
      <c r="H195" s="520">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2999</v>
      </c>
      <c r="B196">
        <v>2035</v>
      </c>
      <c r="C196" t="s">
        <v>766</v>
      </c>
      <c r="D196" t="s">
        <v>930</v>
      </c>
      <c r="E196" t="s">
        <v>2998</v>
      </c>
      <c r="F196">
        <v>92</v>
      </c>
      <c r="G196" s="520">
        <v>15685.92864</v>
      </c>
      <c r="H196" s="520">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2999</v>
      </c>
      <c r="B197">
        <v>2035</v>
      </c>
      <c r="C197" t="s">
        <v>766</v>
      </c>
      <c r="D197" t="s">
        <v>1475</v>
      </c>
      <c r="E197" t="s">
        <v>2998</v>
      </c>
      <c r="F197">
        <v>69</v>
      </c>
      <c r="G197" s="520">
        <v>11735.0424</v>
      </c>
      <c r="H197" s="520">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2999</v>
      </c>
      <c r="B198">
        <v>2050</v>
      </c>
      <c r="C198" t="s">
        <v>766</v>
      </c>
      <c r="D198" t="s">
        <v>482</v>
      </c>
      <c r="E198" t="s">
        <v>2998</v>
      </c>
      <c r="F198">
        <v>42</v>
      </c>
      <c r="G198" s="520">
        <v>7902.9647999999997</v>
      </c>
      <c r="H198" s="520">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2999</v>
      </c>
      <c r="B199">
        <v>2050</v>
      </c>
      <c r="C199" t="s">
        <v>766</v>
      </c>
      <c r="D199" t="s">
        <v>1473</v>
      </c>
      <c r="E199" t="s">
        <v>2998</v>
      </c>
      <c r="F199">
        <v>45</v>
      </c>
      <c r="G199" s="520">
        <v>8380.2168000000001</v>
      </c>
      <c r="H199" s="520">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2999</v>
      </c>
      <c r="B200">
        <v>2050</v>
      </c>
      <c r="C200" t="s">
        <v>766</v>
      </c>
      <c r="D200" t="s">
        <v>1476</v>
      </c>
      <c r="E200" t="s">
        <v>2998</v>
      </c>
      <c r="F200">
        <v>58</v>
      </c>
      <c r="G200" s="520">
        <v>10875.2976</v>
      </c>
      <c r="H200" s="520">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2999</v>
      </c>
      <c r="B201">
        <v>2050</v>
      </c>
      <c r="C201" t="s">
        <v>766</v>
      </c>
      <c r="D201" t="s">
        <v>930</v>
      </c>
      <c r="E201" t="s">
        <v>2998</v>
      </c>
      <c r="F201">
        <v>71</v>
      </c>
      <c r="G201" s="520">
        <v>13298.018400000001</v>
      </c>
      <c r="H201" s="520">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2999</v>
      </c>
      <c r="B202">
        <v>2050</v>
      </c>
      <c r="C202" t="s">
        <v>766</v>
      </c>
      <c r="D202" t="s">
        <v>1475</v>
      </c>
      <c r="E202" t="s">
        <v>2998</v>
      </c>
      <c r="F202">
        <v>54</v>
      </c>
      <c r="G202" s="520">
        <v>10010.2392</v>
      </c>
      <c r="H202" s="520">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3000</v>
      </c>
      <c r="B203">
        <v>2023</v>
      </c>
      <c r="C203" t="s">
        <v>766</v>
      </c>
      <c r="D203" t="s">
        <v>482</v>
      </c>
      <c r="E203" t="s">
        <v>2998</v>
      </c>
      <c r="F203">
        <v>138</v>
      </c>
      <c r="G203" s="520">
        <v>16247.79</v>
      </c>
      <c r="H203" s="520">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3000</v>
      </c>
      <c r="B204">
        <v>2023</v>
      </c>
      <c r="C204" t="s">
        <v>766</v>
      </c>
      <c r="D204" t="s">
        <v>1473</v>
      </c>
      <c r="E204" t="s">
        <v>2998</v>
      </c>
      <c r="F204">
        <v>146</v>
      </c>
      <c r="G204" s="520">
        <v>17215.876079999998</v>
      </c>
      <c r="H204" s="520">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3000</v>
      </c>
      <c r="B205">
        <v>2023</v>
      </c>
      <c r="C205" t="s">
        <v>766</v>
      </c>
      <c r="D205" t="s">
        <v>1476</v>
      </c>
      <c r="E205" t="s">
        <v>2998</v>
      </c>
      <c r="F205">
        <v>191</v>
      </c>
      <c r="G205" s="520">
        <v>22547.717280000001</v>
      </c>
      <c r="H205" s="520">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3000</v>
      </c>
      <c r="B206">
        <v>2023</v>
      </c>
      <c r="C206" t="s">
        <v>766</v>
      </c>
      <c r="D206" t="s">
        <v>930</v>
      </c>
      <c r="E206" t="s">
        <v>2998</v>
      </c>
      <c r="F206">
        <v>235</v>
      </c>
      <c r="G206" s="520">
        <v>27719.651519999999</v>
      </c>
      <c r="H206" s="520">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3000</v>
      </c>
      <c r="B207">
        <v>2023</v>
      </c>
      <c r="C207" t="s">
        <v>766</v>
      </c>
      <c r="D207" t="s">
        <v>1475</v>
      </c>
      <c r="E207" t="s">
        <v>2998</v>
      </c>
      <c r="F207">
        <v>175</v>
      </c>
      <c r="G207" s="520">
        <v>20670.163199999999</v>
      </c>
      <c r="H207" s="520">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3000</v>
      </c>
      <c r="B208">
        <v>2025</v>
      </c>
      <c r="C208" t="s">
        <v>766</v>
      </c>
      <c r="D208" t="s">
        <v>482</v>
      </c>
      <c r="E208" t="s">
        <v>2998</v>
      </c>
      <c r="F208">
        <v>119</v>
      </c>
      <c r="G208" s="520">
        <v>15512.264639999999</v>
      </c>
      <c r="H208" s="520">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3000</v>
      </c>
      <c r="B209">
        <v>2025</v>
      </c>
      <c r="C209" t="s">
        <v>766</v>
      </c>
      <c r="D209" t="s">
        <v>1473</v>
      </c>
      <c r="E209" t="s">
        <v>2998</v>
      </c>
      <c r="F209">
        <v>127</v>
      </c>
      <c r="G209" s="520">
        <v>16453.391759999999</v>
      </c>
      <c r="H209" s="520">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3000</v>
      </c>
      <c r="B210">
        <v>2025</v>
      </c>
      <c r="C210" t="s">
        <v>766</v>
      </c>
      <c r="D210" t="s">
        <v>1476</v>
      </c>
      <c r="E210" t="s">
        <v>2998</v>
      </c>
      <c r="F210">
        <v>165</v>
      </c>
      <c r="G210" s="520">
        <v>21510.0252</v>
      </c>
      <c r="H210" s="520">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3000</v>
      </c>
      <c r="B211">
        <v>2025</v>
      </c>
      <c r="C211" t="s">
        <v>766</v>
      </c>
      <c r="D211" t="s">
        <v>930</v>
      </c>
      <c r="E211" t="s">
        <v>2998</v>
      </c>
      <c r="F211">
        <v>203</v>
      </c>
      <c r="G211" s="520">
        <v>26435.581200000001</v>
      </c>
      <c r="H211" s="520">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3000</v>
      </c>
      <c r="B212">
        <v>2025</v>
      </c>
      <c r="C212" t="s">
        <v>766</v>
      </c>
      <c r="D212" t="s">
        <v>1475</v>
      </c>
      <c r="E212" t="s">
        <v>2998</v>
      </c>
      <c r="F212">
        <v>152</v>
      </c>
      <c r="G212" s="520">
        <v>19726.778880000002</v>
      </c>
      <c r="H212" s="520">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3000</v>
      </c>
      <c r="B213">
        <v>2030</v>
      </c>
      <c r="C213" t="s">
        <v>766</v>
      </c>
      <c r="D213" t="s">
        <v>482</v>
      </c>
      <c r="E213" t="s">
        <v>2998</v>
      </c>
      <c r="F213">
        <v>90</v>
      </c>
      <c r="G213" s="520">
        <v>14407.85016</v>
      </c>
      <c r="H213" s="520">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3000</v>
      </c>
      <c r="B214">
        <v>2030</v>
      </c>
      <c r="C214" t="s">
        <v>766</v>
      </c>
      <c r="D214" t="s">
        <v>1473</v>
      </c>
      <c r="E214" t="s">
        <v>2998</v>
      </c>
      <c r="F214">
        <v>96</v>
      </c>
      <c r="G214" s="520">
        <v>15253.81632</v>
      </c>
      <c r="H214" s="520">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3000</v>
      </c>
      <c r="B215">
        <v>2030</v>
      </c>
      <c r="C215" t="s">
        <v>766</v>
      </c>
      <c r="D215" t="s">
        <v>1476</v>
      </c>
      <c r="E215" t="s">
        <v>2998</v>
      </c>
      <c r="F215">
        <v>125</v>
      </c>
      <c r="G215" s="520">
        <v>19972.396799999999</v>
      </c>
      <c r="H215" s="520">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3000</v>
      </c>
      <c r="B216">
        <v>2030</v>
      </c>
      <c r="C216" t="s">
        <v>766</v>
      </c>
      <c r="D216" t="s">
        <v>930</v>
      </c>
      <c r="E216" t="s">
        <v>2998</v>
      </c>
      <c r="F216">
        <v>154</v>
      </c>
      <c r="G216" s="520">
        <v>24580.99008</v>
      </c>
      <c r="H216" s="520">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3000</v>
      </c>
      <c r="B217">
        <v>2030</v>
      </c>
      <c r="C217" t="s">
        <v>766</v>
      </c>
      <c r="D217" t="s">
        <v>1475</v>
      </c>
      <c r="E217" t="s">
        <v>2998</v>
      </c>
      <c r="F217">
        <v>115</v>
      </c>
      <c r="G217" s="520">
        <v>18314.251199999999</v>
      </c>
      <c r="H217" s="520">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3000</v>
      </c>
      <c r="B218">
        <v>2035</v>
      </c>
      <c r="C218" t="s">
        <v>766</v>
      </c>
      <c r="D218" t="s">
        <v>482</v>
      </c>
      <c r="E218" t="s">
        <v>2998</v>
      </c>
      <c r="F218">
        <v>78</v>
      </c>
      <c r="G218" s="520">
        <v>13224.839760000001</v>
      </c>
      <c r="H218" s="520">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3000</v>
      </c>
      <c r="B219">
        <v>2035</v>
      </c>
      <c r="C219" t="s">
        <v>766</v>
      </c>
      <c r="D219" t="s">
        <v>1473</v>
      </c>
      <c r="E219" t="s">
        <v>2998</v>
      </c>
      <c r="F219">
        <v>83</v>
      </c>
      <c r="G219" s="520">
        <v>14046.222959999999</v>
      </c>
      <c r="H219" s="520">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3000</v>
      </c>
      <c r="B220">
        <v>2035</v>
      </c>
      <c r="C220" t="s">
        <v>766</v>
      </c>
      <c r="D220" t="s">
        <v>1476</v>
      </c>
      <c r="E220" t="s">
        <v>2998</v>
      </c>
      <c r="F220">
        <v>108</v>
      </c>
      <c r="G220" s="520">
        <v>18317.00304</v>
      </c>
      <c r="H220" s="520">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3000</v>
      </c>
      <c r="B221">
        <v>2035</v>
      </c>
      <c r="C221" t="s">
        <v>766</v>
      </c>
      <c r="D221" t="s">
        <v>930</v>
      </c>
      <c r="E221" t="s">
        <v>2998</v>
      </c>
      <c r="F221">
        <v>132</v>
      </c>
      <c r="G221" s="520">
        <v>22442.819039999998</v>
      </c>
      <c r="H221" s="520">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3000</v>
      </c>
      <c r="B222">
        <v>2035</v>
      </c>
      <c r="C222" t="s">
        <v>766</v>
      </c>
      <c r="D222" t="s">
        <v>1475</v>
      </c>
      <c r="E222" t="s">
        <v>2998</v>
      </c>
      <c r="F222">
        <v>99</v>
      </c>
      <c r="G222" s="520">
        <v>16783.949519999998</v>
      </c>
      <c r="H222" s="520">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3000</v>
      </c>
      <c r="B223">
        <v>2050</v>
      </c>
      <c r="C223" t="s">
        <v>766</v>
      </c>
      <c r="D223" t="s">
        <v>482</v>
      </c>
      <c r="E223" t="s">
        <v>2998</v>
      </c>
      <c r="F223">
        <v>61</v>
      </c>
      <c r="G223" s="520">
        <v>11301.4872</v>
      </c>
      <c r="H223" s="520">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3000</v>
      </c>
      <c r="B224">
        <v>2050</v>
      </c>
      <c r="C224" t="s">
        <v>766</v>
      </c>
      <c r="D224" t="s">
        <v>1473</v>
      </c>
      <c r="E224" t="s">
        <v>2998</v>
      </c>
      <c r="F224">
        <v>64</v>
      </c>
      <c r="G224" s="520">
        <v>11961.9072</v>
      </c>
      <c r="H224" s="520">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3000</v>
      </c>
      <c r="B225">
        <v>2050</v>
      </c>
      <c r="C225" t="s">
        <v>766</v>
      </c>
      <c r="D225" t="s">
        <v>1476</v>
      </c>
      <c r="E225" t="s">
        <v>2998</v>
      </c>
      <c r="F225">
        <v>83</v>
      </c>
      <c r="G225" s="520">
        <v>15543.8352</v>
      </c>
      <c r="H225" s="520">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3000</v>
      </c>
      <c r="B226">
        <v>2050</v>
      </c>
      <c r="C226" t="s">
        <v>766</v>
      </c>
      <c r="D226" t="s">
        <v>930</v>
      </c>
      <c r="E226" t="s">
        <v>2998</v>
      </c>
      <c r="F226">
        <v>102</v>
      </c>
      <c r="G226" s="520">
        <v>19039.49712</v>
      </c>
      <c r="H226" s="520">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3000</v>
      </c>
      <c r="B227">
        <v>2050</v>
      </c>
      <c r="C227" t="s">
        <v>766</v>
      </c>
      <c r="D227" t="s">
        <v>1475</v>
      </c>
      <c r="E227" t="s">
        <v>2998</v>
      </c>
      <c r="F227">
        <v>77</v>
      </c>
      <c r="G227" s="520">
        <v>14280.330239999999</v>
      </c>
      <c r="H227" s="520">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567</v>
      </c>
      <c r="B228">
        <v>2023</v>
      </c>
      <c r="C228" t="s">
        <v>766</v>
      </c>
      <c r="D228" t="s">
        <v>482</v>
      </c>
      <c r="E228" t="s">
        <v>2998</v>
      </c>
      <c r="F228">
        <v>168</v>
      </c>
      <c r="G228" s="520">
        <v>1512</v>
      </c>
      <c r="H228" s="520">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567</v>
      </c>
      <c r="B229">
        <v>2023</v>
      </c>
      <c r="C229" t="s">
        <v>766</v>
      </c>
      <c r="D229" t="s">
        <v>1473</v>
      </c>
      <c r="E229" t="s">
        <v>2998</v>
      </c>
      <c r="F229">
        <v>176</v>
      </c>
      <c r="G229" s="520">
        <v>1728</v>
      </c>
      <c r="H229" s="520">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567</v>
      </c>
      <c r="B230">
        <v>2023</v>
      </c>
      <c r="C230" t="s">
        <v>766</v>
      </c>
      <c r="D230" t="s">
        <v>1476</v>
      </c>
      <c r="E230" t="s">
        <v>2998</v>
      </c>
      <c r="F230">
        <v>215</v>
      </c>
      <c r="G230" s="520">
        <v>2160</v>
      </c>
      <c r="H230" s="520">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567</v>
      </c>
      <c r="B231">
        <v>2023</v>
      </c>
      <c r="C231" t="s">
        <v>766</v>
      </c>
      <c r="D231" t="s">
        <v>930</v>
      </c>
      <c r="E231" t="s">
        <v>2998</v>
      </c>
      <c r="F231">
        <v>259</v>
      </c>
      <c r="G231" s="520">
        <v>1728</v>
      </c>
      <c r="H231" s="520">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567</v>
      </c>
      <c r="B232">
        <v>2023</v>
      </c>
      <c r="C232" t="s">
        <v>766</v>
      </c>
      <c r="D232" t="s">
        <v>1475</v>
      </c>
      <c r="E232" t="s">
        <v>2998</v>
      </c>
      <c r="F232">
        <v>200</v>
      </c>
      <c r="G232" s="520">
        <v>1296</v>
      </c>
      <c r="H232" s="520">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567</v>
      </c>
      <c r="B233">
        <v>2025</v>
      </c>
      <c r="C233" t="s">
        <v>766</v>
      </c>
      <c r="D233" t="s">
        <v>482</v>
      </c>
      <c r="E233" t="s">
        <v>2998</v>
      </c>
      <c r="F233">
        <v>146</v>
      </c>
      <c r="G233" s="520">
        <v>1512</v>
      </c>
      <c r="H233" s="520">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567</v>
      </c>
      <c r="B234">
        <v>2025</v>
      </c>
      <c r="C234" t="s">
        <v>766</v>
      </c>
      <c r="D234" t="s">
        <v>1473</v>
      </c>
      <c r="E234" t="s">
        <v>2998</v>
      </c>
      <c r="F234">
        <v>153</v>
      </c>
      <c r="G234" s="520">
        <v>1728</v>
      </c>
      <c r="H234" s="520">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567</v>
      </c>
      <c r="B235">
        <v>2025</v>
      </c>
      <c r="C235" t="s">
        <v>766</v>
      </c>
      <c r="D235" t="s">
        <v>1476</v>
      </c>
      <c r="E235" t="s">
        <v>2998</v>
      </c>
      <c r="F235">
        <v>187</v>
      </c>
      <c r="G235" s="520">
        <v>2160</v>
      </c>
      <c r="H235" s="520">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567</v>
      </c>
      <c r="B236">
        <v>2025</v>
      </c>
      <c r="C236" t="s">
        <v>766</v>
      </c>
      <c r="D236" t="s">
        <v>930</v>
      </c>
      <c r="E236" t="s">
        <v>2998</v>
      </c>
      <c r="F236">
        <v>225</v>
      </c>
      <c r="G236" s="520">
        <v>1728</v>
      </c>
      <c r="H236" s="520">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567</v>
      </c>
      <c r="B237">
        <v>2025</v>
      </c>
      <c r="C237" t="s">
        <v>766</v>
      </c>
      <c r="D237" t="s">
        <v>1475</v>
      </c>
      <c r="E237" t="s">
        <v>2998</v>
      </c>
      <c r="F237">
        <v>174</v>
      </c>
      <c r="G237" s="520">
        <v>1296</v>
      </c>
      <c r="H237" s="520">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567</v>
      </c>
      <c r="B238">
        <v>2030</v>
      </c>
      <c r="C238" t="s">
        <v>766</v>
      </c>
      <c r="D238" t="s">
        <v>482</v>
      </c>
      <c r="E238" t="s">
        <v>2998</v>
      </c>
      <c r="F238">
        <v>110</v>
      </c>
      <c r="G238" s="520">
        <v>1512</v>
      </c>
      <c r="H238" s="520">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567</v>
      </c>
      <c r="B239">
        <v>2030</v>
      </c>
      <c r="C239" t="s">
        <v>766</v>
      </c>
      <c r="D239" t="s">
        <v>1473</v>
      </c>
      <c r="E239" t="s">
        <v>2998</v>
      </c>
      <c r="F239">
        <v>116</v>
      </c>
      <c r="G239" s="520">
        <v>1728</v>
      </c>
      <c r="H239" s="520">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567</v>
      </c>
      <c r="B240">
        <v>2030</v>
      </c>
      <c r="C240" t="s">
        <v>766</v>
      </c>
      <c r="D240" t="s">
        <v>1476</v>
      </c>
      <c r="E240" t="s">
        <v>2998</v>
      </c>
      <c r="F240">
        <v>142</v>
      </c>
      <c r="G240" s="520">
        <v>2160</v>
      </c>
      <c r="H240" s="520">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567</v>
      </c>
      <c r="B241">
        <v>2030</v>
      </c>
      <c r="C241" t="s">
        <v>766</v>
      </c>
      <c r="D241" t="s">
        <v>930</v>
      </c>
      <c r="E241" t="s">
        <v>2998</v>
      </c>
      <c r="F241">
        <v>170</v>
      </c>
      <c r="G241" s="520">
        <v>1620</v>
      </c>
      <c r="H241" s="520">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567</v>
      </c>
      <c r="B242">
        <v>2030</v>
      </c>
      <c r="C242" t="s">
        <v>766</v>
      </c>
      <c r="D242" t="s">
        <v>1475</v>
      </c>
      <c r="E242" t="s">
        <v>2998</v>
      </c>
      <c r="F242">
        <v>132</v>
      </c>
      <c r="G242" s="520">
        <v>1296</v>
      </c>
      <c r="H242" s="520">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567</v>
      </c>
      <c r="B243">
        <v>2035</v>
      </c>
      <c r="C243" t="s">
        <v>766</v>
      </c>
      <c r="D243" t="s">
        <v>482</v>
      </c>
      <c r="E243" t="s">
        <v>2998</v>
      </c>
      <c r="F243">
        <v>96</v>
      </c>
      <c r="G243" s="520">
        <v>1512</v>
      </c>
      <c r="H243" s="520">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567</v>
      </c>
      <c r="B244">
        <v>2035</v>
      </c>
      <c r="C244" t="s">
        <v>766</v>
      </c>
      <c r="D244" t="s">
        <v>1473</v>
      </c>
      <c r="E244" t="s">
        <v>2998</v>
      </c>
      <c r="F244">
        <v>101</v>
      </c>
      <c r="G244" s="520">
        <v>1728</v>
      </c>
      <c r="H244" s="520">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567</v>
      </c>
      <c r="B245">
        <v>2035</v>
      </c>
      <c r="C245" t="s">
        <v>766</v>
      </c>
      <c r="D245" t="s">
        <v>1476</v>
      </c>
      <c r="E245" t="s">
        <v>2998</v>
      </c>
      <c r="F245">
        <v>123</v>
      </c>
      <c r="G245" s="520">
        <v>2268</v>
      </c>
      <c r="H245" s="520">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567</v>
      </c>
      <c r="B246">
        <v>2035</v>
      </c>
      <c r="C246" t="s">
        <v>766</v>
      </c>
      <c r="D246" t="s">
        <v>930</v>
      </c>
      <c r="E246" t="s">
        <v>2998</v>
      </c>
      <c r="F246">
        <v>148</v>
      </c>
      <c r="G246" s="520">
        <v>1728</v>
      </c>
      <c r="H246" s="520">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567</v>
      </c>
      <c r="B247">
        <v>2035</v>
      </c>
      <c r="C247" t="s">
        <v>766</v>
      </c>
      <c r="D247" t="s">
        <v>1475</v>
      </c>
      <c r="E247" t="s">
        <v>2998</v>
      </c>
      <c r="F247">
        <v>115</v>
      </c>
      <c r="G247" s="520">
        <v>1296</v>
      </c>
      <c r="H247" s="520">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567</v>
      </c>
      <c r="B248">
        <v>2050</v>
      </c>
      <c r="C248" t="s">
        <v>766</v>
      </c>
      <c r="D248" t="s">
        <v>482</v>
      </c>
      <c r="E248" t="s">
        <v>2998</v>
      </c>
      <c r="F248">
        <v>76</v>
      </c>
      <c r="G248" s="520">
        <v>1512</v>
      </c>
      <c r="H248" s="520">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567</v>
      </c>
      <c r="B249">
        <v>2050</v>
      </c>
      <c r="C249" t="s">
        <v>766</v>
      </c>
      <c r="D249" t="s">
        <v>1473</v>
      </c>
      <c r="E249" t="s">
        <v>2998</v>
      </c>
      <c r="F249">
        <v>80</v>
      </c>
      <c r="G249" s="520">
        <v>1836</v>
      </c>
      <c r="H249" s="520">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567</v>
      </c>
      <c r="B250">
        <v>2050</v>
      </c>
      <c r="C250" t="s">
        <v>766</v>
      </c>
      <c r="D250" t="s">
        <v>1476</v>
      </c>
      <c r="E250" t="s">
        <v>2998</v>
      </c>
      <c r="F250">
        <v>97</v>
      </c>
      <c r="G250" s="520">
        <v>2268</v>
      </c>
      <c r="H250" s="520">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567</v>
      </c>
      <c r="B251">
        <v>2050</v>
      </c>
      <c r="C251" t="s">
        <v>766</v>
      </c>
      <c r="D251" t="s">
        <v>930</v>
      </c>
      <c r="E251" t="s">
        <v>2998</v>
      </c>
      <c r="F251">
        <v>116</v>
      </c>
      <c r="G251" s="520">
        <v>1728</v>
      </c>
      <c r="H251" s="520">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567</v>
      </c>
      <c r="B252">
        <v>2050</v>
      </c>
      <c r="C252" t="s">
        <v>766</v>
      </c>
      <c r="D252" t="s">
        <v>1475</v>
      </c>
      <c r="E252" t="s">
        <v>2998</v>
      </c>
      <c r="F252">
        <v>91</v>
      </c>
      <c r="G252" s="520">
        <v>1296</v>
      </c>
      <c r="H252" s="520">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3001</v>
      </c>
      <c r="B253">
        <v>2023</v>
      </c>
      <c r="C253" t="s">
        <v>766</v>
      </c>
      <c r="D253" t="s">
        <v>482</v>
      </c>
      <c r="E253" t="s">
        <v>2998</v>
      </c>
      <c r="F253">
        <v>11</v>
      </c>
      <c r="G253" s="520">
        <v>972</v>
      </c>
      <c r="H253" s="520">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3001</v>
      </c>
      <c r="B254">
        <v>2023</v>
      </c>
      <c r="C254" t="s">
        <v>766</v>
      </c>
      <c r="D254" t="s">
        <v>1473</v>
      </c>
      <c r="E254" t="s">
        <v>2998</v>
      </c>
      <c r="F254">
        <v>12</v>
      </c>
      <c r="G254" s="520">
        <v>1080</v>
      </c>
      <c r="H254" s="520">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3001</v>
      </c>
      <c r="B255">
        <v>2023</v>
      </c>
      <c r="C255" t="s">
        <v>766</v>
      </c>
      <c r="D255" t="s">
        <v>1476</v>
      </c>
      <c r="E255" t="s">
        <v>2998</v>
      </c>
      <c r="F255">
        <v>13</v>
      </c>
      <c r="G255" s="520">
        <v>1188</v>
      </c>
      <c r="H255" s="520">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3001</v>
      </c>
      <c r="B256">
        <v>2023</v>
      </c>
      <c r="C256" t="s">
        <v>766</v>
      </c>
      <c r="D256" t="s">
        <v>930</v>
      </c>
      <c r="E256" t="s">
        <v>2998</v>
      </c>
      <c r="F256">
        <v>16</v>
      </c>
      <c r="G256" s="520">
        <v>1404</v>
      </c>
      <c r="H256" s="520">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3001</v>
      </c>
      <c r="B257">
        <v>2023</v>
      </c>
      <c r="C257" t="s">
        <v>766</v>
      </c>
      <c r="D257" t="s">
        <v>1475</v>
      </c>
      <c r="E257" t="s">
        <v>2998</v>
      </c>
      <c r="F257">
        <v>12</v>
      </c>
      <c r="G257" s="520">
        <v>1080</v>
      </c>
      <c r="H257" s="520">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3001</v>
      </c>
      <c r="B258">
        <v>2025</v>
      </c>
      <c r="C258" t="s">
        <v>766</v>
      </c>
      <c r="D258" t="s">
        <v>482</v>
      </c>
      <c r="E258" t="s">
        <v>2998</v>
      </c>
      <c r="F258">
        <v>10</v>
      </c>
      <c r="G258" s="520">
        <v>972</v>
      </c>
      <c r="H258" s="520">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3001</v>
      </c>
      <c r="B259">
        <v>2025</v>
      </c>
      <c r="C259" t="s">
        <v>766</v>
      </c>
      <c r="D259" t="s">
        <v>1473</v>
      </c>
      <c r="E259" t="s">
        <v>2998</v>
      </c>
      <c r="F259">
        <v>11</v>
      </c>
      <c r="G259" s="520">
        <v>1080</v>
      </c>
      <c r="H259" s="520">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3001</v>
      </c>
      <c r="B260">
        <v>2025</v>
      </c>
      <c r="C260" t="s">
        <v>766</v>
      </c>
      <c r="D260" t="s">
        <v>1476</v>
      </c>
      <c r="E260" t="s">
        <v>2998</v>
      </c>
      <c r="F260">
        <v>12</v>
      </c>
      <c r="G260" s="520">
        <v>1188</v>
      </c>
      <c r="H260" s="520">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3001</v>
      </c>
      <c r="B261">
        <v>2025</v>
      </c>
      <c r="C261" t="s">
        <v>766</v>
      </c>
      <c r="D261" t="s">
        <v>930</v>
      </c>
      <c r="E261" t="s">
        <v>2998</v>
      </c>
      <c r="F261">
        <v>14</v>
      </c>
      <c r="G261" s="520">
        <v>1404</v>
      </c>
      <c r="H261" s="520">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3001</v>
      </c>
      <c r="B262">
        <v>2025</v>
      </c>
      <c r="C262" t="s">
        <v>766</v>
      </c>
      <c r="D262" t="s">
        <v>1475</v>
      </c>
      <c r="E262" t="s">
        <v>2998</v>
      </c>
      <c r="F262">
        <v>11</v>
      </c>
      <c r="G262" s="520">
        <v>1080</v>
      </c>
      <c r="H262" s="520">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3001</v>
      </c>
      <c r="B263">
        <v>2030</v>
      </c>
      <c r="C263" t="s">
        <v>766</v>
      </c>
      <c r="D263" t="s">
        <v>482</v>
      </c>
      <c r="E263" t="s">
        <v>2998</v>
      </c>
      <c r="F263">
        <v>7</v>
      </c>
      <c r="G263" s="520">
        <v>972</v>
      </c>
      <c r="H263" s="520">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3001</v>
      </c>
      <c r="B264">
        <v>2030</v>
      </c>
      <c r="C264" t="s">
        <v>766</v>
      </c>
      <c r="D264" t="s">
        <v>1473</v>
      </c>
      <c r="E264" t="s">
        <v>2998</v>
      </c>
      <c r="F264">
        <v>8</v>
      </c>
      <c r="G264" s="520">
        <v>1080</v>
      </c>
      <c r="H264" s="520">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3001</v>
      </c>
      <c r="B265">
        <v>2030</v>
      </c>
      <c r="C265" t="s">
        <v>766</v>
      </c>
      <c r="D265" t="s">
        <v>1476</v>
      </c>
      <c r="E265" t="s">
        <v>2998</v>
      </c>
      <c r="F265">
        <v>9</v>
      </c>
      <c r="G265" s="520">
        <v>1188</v>
      </c>
      <c r="H265" s="520">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3001</v>
      </c>
      <c r="B266">
        <v>2030</v>
      </c>
      <c r="C266" t="s">
        <v>766</v>
      </c>
      <c r="D266" t="s">
        <v>930</v>
      </c>
      <c r="E266" t="s">
        <v>2998</v>
      </c>
      <c r="F266">
        <v>11</v>
      </c>
      <c r="G266" s="520">
        <v>1404</v>
      </c>
      <c r="H266" s="520">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3001</v>
      </c>
      <c r="B267">
        <v>2030</v>
      </c>
      <c r="C267" t="s">
        <v>766</v>
      </c>
      <c r="D267" t="s">
        <v>1475</v>
      </c>
      <c r="E267" t="s">
        <v>2998</v>
      </c>
      <c r="F267">
        <v>8</v>
      </c>
      <c r="G267" s="520">
        <v>1080</v>
      </c>
      <c r="H267" s="520">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3001</v>
      </c>
      <c r="B268">
        <v>2035</v>
      </c>
      <c r="C268" t="s">
        <v>766</v>
      </c>
      <c r="D268" t="s">
        <v>482</v>
      </c>
      <c r="E268" t="s">
        <v>2998</v>
      </c>
      <c r="F268">
        <v>6</v>
      </c>
      <c r="G268" s="520">
        <v>972</v>
      </c>
      <c r="H268" s="520">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3001</v>
      </c>
      <c r="B269">
        <v>2035</v>
      </c>
      <c r="C269" t="s">
        <v>766</v>
      </c>
      <c r="D269" t="s">
        <v>1473</v>
      </c>
      <c r="E269" t="s">
        <v>2998</v>
      </c>
      <c r="F269">
        <v>7</v>
      </c>
      <c r="G269" s="520">
        <v>1080</v>
      </c>
      <c r="H269" s="520">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3001</v>
      </c>
      <c r="B270">
        <v>2035</v>
      </c>
      <c r="C270" t="s">
        <v>766</v>
      </c>
      <c r="D270" t="s">
        <v>1476</v>
      </c>
      <c r="E270" t="s">
        <v>2998</v>
      </c>
      <c r="F270">
        <v>8</v>
      </c>
      <c r="G270" s="520">
        <v>1188</v>
      </c>
      <c r="H270" s="520">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3001</v>
      </c>
      <c r="B271">
        <v>2035</v>
      </c>
      <c r="C271" t="s">
        <v>766</v>
      </c>
      <c r="D271" t="s">
        <v>930</v>
      </c>
      <c r="E271" t="s">
        <v>2998</v>
      </c>
      <c r="F271">
        <v>9</v>
      </c>
      <c r="G271" s="520">
        <v>1404</v>
      </c>
      <c r="H271" s="520">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3001</v>
      </c>
      <c r="B272">
        <v>2035</v>
      </c>
      <c r="C272" t="s">
        <v>766</v>
      </c>
      <c r="D272" t="s">
        <v>1475</v>
      </c>
      <c r="E272" t="s">
        <v>2998</v>
      </c>
      <c r="F272">
        <v>8</v>
      </c>
      <c r="G272" s="520">
        <v>1188</v>
      </c>
      <c r="H272" s="520">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3001</v>
      </c>
      <c r="B273">
        <v>2050</v>
      </c>
      <c r="C273" t="s">
        <v>766</v>
      </c>
      <c r="D273" t="s">
        <v>482</v>
      </c>
      <c r="E273" t="s">
        <v>2998</v>
      </c>
      <c r="F273">
        <v>6</v>
      </c>
      <c r="G273" s="520">
        <v>972</v>
      </c>
      <c r="H273" s="520">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3001</v>
      </c>
      <c r="B274">
        <v>2050</v>
      </c>
      <c r="C274" t="s">
        <v>766</v>
      </c>
      <c r="D274" t="s">
        <v>1473</v>
      </c>
      <c r="E274" t="s">
        <v>2998</v>
      </c>
      <c r="F274">
        <v>6</v>
      </c>
      <c r="G274" s="520">
        <v>1080</v>
      </c>
      <c r="H274" s="520">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3001</v>
      </c>
      <c r="B275">
        <v>2050</v>
      </c>
      <c r="C275" t="s">
        <v>766</v>
      </c>
      <c r="D275" t="s">
        <v>1476</v>
      </c>
      <c r="E275" t="s">
        <v>2998</v>
      </c>
      <c r="F275">
        <v>7</v>
      </c>
      <c r="G275" s="520">
        <v>1188</v>
      </c>
      <c r="H275" s="520">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3001</v>
      </c>
      <c r="B276">
        <v>2050</v>
      </c>
      <c r="C276" t="s">
        <v>766</v>
      </c>
      <c r="D276" t="s">
        <v>930</v>
      </c>
      <c r="E276" t="s">
        <v>2998</v>
      </c>
      <c r="F276">
        <v>8</v>
      </c>
      <c r="G276" s="520">
        <v>1404</v>
      </c>
      <c r="H276" s="520">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3001</v>
      </c>
      <c r="B277">
        <v>2050</v>
      </c>
      <c r="C277" t="s">
        <v>766</v>
      </c>
      <c r="D277" t="s">
        <v>1475</v>
      </c>
      <c r="E277" t="s">
        <v>2998</v>
      </c>
      <c r="F277">
        <v>7</v>
      </c>
      <c r="G277" s="520">
        <v>1188</v>
      </c>
      <c r="H277" s="520">
        <v>0</v>
      </c>
      <c r="I277" s="520">
        <v>12764.9</v>
      </c>
      <c r="J277" s="520">
        <v>61.624000000000002</v>
      </c>
      <c r="K277" s="520">
        <v>0</v>
      </c>
      <c r="L277" s="520">
        <v>756.52768729641696</v>
      </c>
      <c r="M277" s="520">
        <v>169.27424999999999</v>
      </c>
      <c r="N277" s="520">
        <v>185.09174999999999</v>
      </c>
      <c r="O277" s="520">
        <v>0</v>
      </c>
      <c r="P277" s="520">
        <v>5446.9499494270603</v>
      </c>
      <c r="Q277" s="520">
        <v>846.90486950053298</v>
      </c>
      <c r="R277" s="520">
        <v>469.94204892184302</v>
      </c>
      <c r="S277" s="520">
        <v>31.435353184298801</v>
      </c>
      <c r="T277" s="520">
        <v>0</v>
      </c>
      <c r="U277" s="520">
        <v>0</v>
      </c>
      <c r="V277" s="520">
        <v>0</v>
      </c>
      <c r="W277" s="520">
        <v>0</v>
      </c>
      <c r="X277" s="520">
        <v>4.20947368421053</v>
      </c>
      <c r="Y277" s="520">
        <v>200.25732899022799</v>
      </c>
      <c r="Z277" s="520">
        <v>259.62972836856198</v>
      </c>
      <c r="AA277" s="520">
        <v>135.25404809113499</v>
      </c>
      <c r="AB277" s="925">
        <v>21332.000487464298</v>
      </c>
      <c r="AC277" s="926">
        <v>49.738512124151498</v>
      </c>
      <c r="AD277" s="927">
        <v>0</v>
      </c>
      <c r="AE277" s="927">
        <v>0</v>
      </c>
      <c r="AF277" s="926">
        <v>0</v>
      </c>
      <c r="AH277" s="206">
        <f t="shared" si="33"/>
        <v>24454.274025587598</v>
      </c>
      <c r="AI277" s="445">
        <f t="shared" si="34"/>
        <v>4.7290340863898681</v>
      </c>
      <c r="AJ277" s="445">
        <f t="shared" si="35"/>
        <v>1.5874520832543229</v>
      </c>
      <c r="AK277" s="80">
        <f t="shared" si="36"/>
        <v>0</v>
      </c>
      <c r="AL277" s="80">
        <f t="shared" si="37"/>
        <v>0</v>
      </c>
      <c r="AM277" s="80">
        <f t="shared" si="40"/>
        <v>1.5874520832543229</v>
      </c>
      <c r="AN277" s="114">
        <f t="shared" si="38"/>
        <v>1</v>
      </c>
      <c r="AO277" s="114">
        <f t="shared" si="39"/>
        <v>0</v>
      </c>
    </row>
    <row r="278" spans="1:41" x14ac:dyDescent="0.25">
      <c r="A278" t="s">
        <v>4423</v>
      </c>
      <c r="B278">
        <v>2023</v>
      </c>
      <c r="C278" t="s">
        <v>766</v>
      </c>
      <c r="D278" t="s">
        <v>482</v>
      </c>
      <c r="E278" t="s">
        <v>2998</v>
      </c>
      <c r="F278">
        <v>17</v>
      </c>
      <c r="G278" s="520">
        <v>13673.759040000001</v>
      </c>
      <c r="H278" s="520">
        <v>27.465161459389883</v>
      </c>
      <c r="I278" s="520">
        <v>7949</v>
      </c>
      <c r="J278" s="520">
        <v>61.624000000000002</v>
      </c>
      <c r="K278" s="520">
        <v>75</v>
      </c>
      <c r="L278" s="520">
        <v>3062.9220249599998</v>
      </c>
      <c r="M278" s="520">
        <v>1002.54</v>
      </c>
      <c r="N278" s="520"/>
      <c r="O278" s="520">
        <v>103.589777227187</v>
      </c>
      <c r="P278" s="520">
        <v>4873.0882702123099</v>
      </c>
      <c r="Q278" s="520">
        <v>2431.3000000000002</v>
      </c>
      <c r="R278" s="520">
        <v>810.84951701196098</v>
      </c>
      <c r="S278" s="520">
        <v>20.571842350817999</v>
      </c>
      <c r="T278" s="520">
        <v>42.923940839994501</v>
      </c>
      <c r="U278" s="520"/>
      <c r="V278" s="520"/>
      <c r="W278" s="520"/>
      <c r="X278" s="520">
        <v>21.710526315789501</v>
      </c>
      <c r="Y278" s="520"/>
      <c r="Z278" s="520">
        <v>277.49104756884702</v>
      </c>
      <c r="AA278" s="520">
        <v>177.418955471977</v>
      </c>
      <c r="AB278" s="925">
        <v>20910.0299019589</v>
      </c>
      <c r="AC278" s="926">
        <v>37.580701074809184</v>
      </c>
      <c r="AD278" s="927">
        <v>95.866139753494167</v>
      </c>
      <c r="AE278" s="927">
        <v>182.47100367644344</v>
      </c>
      <c r="AF278" s="926">
        <v>322.97958376290364</v>
      </c>
      <c r="AH278" s="206">
        <f t="shared" ref="AH278:AH327" si="41">AB278*USD2023_to_CAD2020</f>
        <v>23970.541412945357</v>
      </c>
      <c r="AI278" s="445">
        <f t="shared" si="34"/>
        <v>2.4535787072082971</v>
      </c>
      <c r="AJ278" s="445">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4423</v>
      </c>
      <c r="B279">
        <v>2023</v>
      </c>
      <c r="C279" t="s">
        <v>766</v>
      </c>
      <c r="D279" t="s">
        <v>1473</v>
      </c>
      <c r="E279" t="s">
        <v>2998</v>
      </c>
      <c r="F279">
        <v>19</v>
      </c>
      <c r="G279" s="520">
        <v>14242.962240000001</v>
      </c>
      <c r="H279" s="520">
        <v>27.603057356813096</v>
      </c>
      <c r="I279" s="520">
        <v>10671</v>
      </c>
      <c r="J279" s="520">
        <v>61.624000000000002</v>
      </c>
      <c r="K279" s="520">
        <v>75</v>
      </c>
      <c r="L279" s="520">
        <v>3190.4235417599998</v>
      </c>
      <c r="M279" s="520">
        <v>763.46400000000006</v>
      </c>
      <c r="N279" s="520"/>
      <c r="O279" s="520">
        <v>103.589777227187</v>
      </c>
      <c r="P279" s="520">
        <v>4873.0882702123099</v>
      </c>
      <c r="Q279" s="520">
        <v>2431.3000000000002</v>
      </c>
      <c r="R279" s="520">
        <v>810.84951701196098</v>
      </c>
      <c r="S279" s="520">
        <v>41.086195236870999</v>
      </c>
      <c r="T279" s="520">
        <v>42.923940839994501</v>
      </c>
      <c r="U279" s="520"/>
      <c r="V279" s="520"/>
      <c r="W279" s="520"/>
      <c r="X279" s="520">
        <v>21.710526315789501</v>
      </c>
      <c r="Y279" s="520"/>
      <c r="Z279" s="520">
        <v>277.49104756884702</v>
      </c>
      <c r="AA279" s="520">
        <v>177.418955471977</v>
      </c>
      <c r="AB279" s="925">
        <v>23540.969771644901</v>
      </c>
      <c r="AC279" s="926">
        <v>37.969425845201805</v>
      </c>
      <c r="AD279" s="927">
        <v>96.399353060085616</v>
      </c>
      <c r="AE279" s="927">
        <v>189.65127536253488</v>
      </c>
      <c r="AF279" s="926">
        <v>333.95489034147477</v>
      </c>
      <c r="AH279" s="206">
        <f t="shared" si="41"/>
        <v>26986.560682022024</v>
      </c>
      <c r="AI279" s="445">
        <f t="shared" si="34"/>
        <v>2.4400072383765772</v>
      </c>
      <c r="AJ279" s="445">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4423</v>
      </c>
      <c r="B280">
        <v>2023</v>
      </c>
      <c r="C280" t="s">
        <v>766</v>
      </c>
      <c r="D280" t="s">
        <v>1476</v>
      </c>
      <c r="E280" t="s">
        <v>2998</v>
      </c>
      <c r="F280">
        <v>24</v>
      </c>
      <c r="G280" s="520">
        <v>17583.382799999999</v>
      </c>
      <c r="H280" s="520">
        <v>29.028520091736581</v>
      </c>
      <c r="I280" s="520">
        <v>13773</v>
      </c>
      <c r="J280" s="520">
        <v>61.624000000000002</v>
      </c>
      <c r="K280" s="520">
        <v>75</v>
      </c>
      <c r="L280" s="520">
        <v>3938.6777471999999</v>
      </c>
      <c r="M280" s="520">
        <v>876.79200000000003</v>
      </c>
      <c r="N280" s="520"/>
      <c r="O280" s="520">
        <v>103.589777227187</v>
      </c>
      <c r="P280" s="520">
        <v>4873.0882702123099</v>
      </c>
      <c r="Q280" s="520">
        <v>2431.3000000000002</v>
      </c>
      <c r="R280" s="520">
        <v>810.84951701196098</v>
      </c>
      <c r="S280" s="520">
        <v>43.641152198163198</v>
      </c>
      <c r="T280" s="520">
        <v>42.923940839994501</v>
      </c>
      <c r="U280" s="520"/>
      <c r="V280" s="520"/>
      <c r="W280" s="520"/>
      <c r="X280" s="520">
        <v>23.684210526315798</v>
      </c>
      <c r="Y280" s="520"/>
      <c r="Z280" s="520">
        <v>382.51544963796499</v>
      </c>
      <c r="AA280" s="520">
        <v>177.418955471977</v>
      </c>
      <c r="AB280" s="925">
        <v>27614.1050203259</v>
      </c>
      <c r="AC280" s="926">
        <v>31.497007616835852</v>
      </c>
      <c r="AD280" s="927">
        <v>78.893193592058594</v>
      </c>
      <c r="AE280" s="927">
        <v>232.76614778859204</v>
      </c>
      <c r="AF280" s="926">
        <v>392.88148983260874</v>
      </c>
      <c r="AH280" s="206">
        <f t="shared" si="41"/>
        <v>31655.863290235353</v>
      </c>
      <c r="AI280" s="445">
        <f t="shared" si="34"/>
        <v>2.9814374159788728</v>
      </c>
      <c r="AJ280" s="445">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4423</v>
      </c>
      <c r="B281">
        <v>2023</v>
      </c>
      <c r="C281" t="s">
        <v>766</v>
      </c>
      <c r="D281" t="s">
        <v>930</v>
      </c>
      <c r="E281" t="s">
        <v>2998</v>
      </c>
      <c r="F281">
        <v>19</v>
      </c>
      <c r="G281" s="520">
        <v>21191.258880000001</v>
      </c>
      <c r="H281" s="520">
        <v>29.580705893790579</v>
      </c>
      <c r="I281" s="520">
        <v>14710</v>
      </c>
      <c r="J281" s="520">
        <v>61.624000000000002</v>
      </c>
      <c r="K281" s="520">
        <v>75</v>
      </c>
      <c r="L281" s="520">
        <v>4746.8419891200001</v>
      </c>
      <c r="M281" s="520">
        <v>1049.568</v>
      </c>
      <c r="N281" s="520"/>
      <c r="O281" s="520">
        <v>103.589777227187</v>
      </c>
      <c r="P281" s="520">
        <v>5535.0375169392701</v>
      </c>
      <c r="Q281" s="520">
        <v>2431.3000000000002</v>
      </c>
      <c r="R281" s="520">
        <v>810.84951701196098</v>
      </c>
      <c r="S281" s="520">
        <v>63.9380619385743</v>
      </c>
      <c r="T281" s="520">
        <v>42.923940839994501</v>
      </c>
      <c r="U281" s="520"/>
      <c r="V281" s="520"/>
      <c r="W281" s="520"/>
      <c r="X281" s="520">
        <v>23.684210526315798</v>
      </c>
      <c r="Y281" s="520"/>
      <c r="Z281" s="520">
        <v>464.44867926587</v>
      </c>
      <c r="AA281" s="520">
        <v>177.418955471977</v>
      </c>
      <c r="AB281" s="925">
        <v>30296.224648341198</v>
      </c>
      <c r="AC281" s="926">
        <v>26.635094230833943</v>
      </c>
      <c r="AD281" s="927">
        <v>63.632886966812087</v>
      </c>
      <c r="AE281" s="927">
        <v>278.74083048979202</v>
      </c>
      <c r="AF281" s="926">
        <v>466.01798818243304</v>
      </c>
      <c r="AH281" s="206">
        <f t="shared" si="41"/>
        <v>34730.553279645232</v>
      </c>
      <c r="AI281" s="445">
        <f t="shared" si="34"/>
        <v>3.6964395370605336</v>
      </c>
      <c r="AJ281" s="445">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4423</v>
      </c>
      <c r="B282">
        <v>2023</v>
      </c>
      <c r="C282" t="s">
        <v>766</v>
      </c>
      <c r="D282" t="s">
        <v>1475</v>
      </c>
      <c r="E282" t="s">
        <v>2998</v>
      </c>
      <c r="F282">
        <v>14</v>
      </c>
      <c r="G282" s="520">
        <v>16344.538560000001</v>
      </c>
      <c r="H282" s="520">
        <v>28.38997630822989</v>
      </c>
      <c r="I282" s="520">
        <v>12617</v>
      </c>
      <c r="J282" s="520">
        <v>61.624000000000002</v>
      </c>
      <c r="K282" s="520">
        <v>75</v>
      </c>
      <c r="L282" s="520">
        <v>3661.1766374399999</v>
      </c>
      <c r="M282" s="520">
        <v>827.20799999999997</v>
      </c>
      <c r="N282" s="520"/>
      <c r="O282" s="520">
        <v>103.589777227187</v>
      </c>
      <c r="P282" s="520">
        <v>4873.0882702123099</v>
      </c>
      <c r="Q282" s="520">
        <v>2431.3000000000002</v>
      </c>
      <c r="R282" s="520">
        <v>810.84951701196098</v>
      </c>
      <c r="S282" s="520">
        <v>44.0435784515184</v>
      </c>
      <c r="T282" s="520">
        <v>42.923940839994501</v>
      </c>
      <c r="U282" s="520"/>
      <c r="V282" s="520"/>
      <c r="W282" s="520"/>
      <c r="X282" s="520">
        <v>23.684210526315798</v>
      </c>
      <c r="Y282" s="520"/>
      <c r="Z282" s="520">
        <v>340.56825556589502</v>
      </c>
      <c r="AA282" s="520">
        <v>177.418955471977</v>
      </c>
      <c r="AB282" s="925">
        <v>26089.4751427472</v>
      </c>
      <c r="AC282" s="926">
        <v>33.938994633095938</v>
      </c>
      <c r="AD282" s="927">
        <v>86.024083086011629</v>
      </c>
      <c r="AE282" s="927">
        <v>215.73963113230627</v>
      </c>
      <c r="AF282" s="926">
        <v>374.44806400042944</v>
      </c>
      <c r="AH282" s="206">
        <f t="shared" si="41"/>
        <v>29908.079868056204</v>
      </c>
      <c r="AI282" s="445">
        <f t="shared" si="34"/>
        <v>2.7342938256749227</v>
      </c>
      <c r="AJ282" s="445">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4423</v>
      </c>
      <c r="B283">
        <v>2025</v>
      </c>
      <c r="C283" t="s">
        <v>766</v>
      </c>
      <c r="D283" t="s">
        <v>482</v>
      </c>
      <c r="E283" t="s">
        <v>2998</v>
      </c>
      <c r="F283">
        <v>15</v>
      </c>
      <c r="G283" s="520">
        <v>13144.53096</v>
      </c>
      <c r="H283" s="520">
        <v>27.345178647783762</v>
      </c>
      <c r="I283" s="520">
        <v>7992.2821999999996</v>
      </c>
      <c r="J283" s="520">
        <v>61.624000000000002</v>
      </c>
      <c r="K283" s="520">
        <v>45</v>
      </c>
      <c r="L283" s="520">
        <v>2670.9686910720002</v>
      </c>
      <c r="M283" s="520">
        <v>725.22</v>
      </c>
      <c r="N283" s="520"/>
      <c r="O283" s="520">
        <v>101.528340660366</v>
      </c>
      <c r="P283" s="520">
        <v>4861.5291151887204</v>
      </c>
      <c r="Q283" s="520">
        <v>2405.33</v>
      </c>
      <c r="R283" s="520">
        <v>778.73987613828695</v>
      </c>
      <c r="S283" s="520">
        <v>20.199259699900399</v>
      </c>
      <c r="T283" s="520">
        <v>42.069754417278602</v>
      </c>
      <c r="U283" s="520"/>
      <c r="V283" s="520"/>
      <c r="W283" s="520"/>
      <c r="X283" s="520">
        <v>13.026315789473699</v>
      </c>
      <c r="Y283" s="520"/>
      <c r="Z283" s="520">
        <v>271.96897572222701</v>
      </c>
      <c r="AA283" s="520">
        <v>173.88831825808501</v>
      </c>
      <c r="AB283" s="925">
        <v>20163.374846946299</v>
      </c>
      <c r="AC283" s="926">
        <v>39.959226957301532</v>
      </c>
      <c r="AD283" s="927">
        <v>102.64968517869467</v>
      </c>
      <c r="AE283" s="927">
        <v>175.8753926348823</v>
      </c>
      <c r="AF283" s="926">
        <v>311.65394146821149</v>
      </c>
      <c r="AH283" s="206">
        <f t="shared" si="41"/>
        <v>23114.601655743583</v>
      </c>
      <c r="AI283" s="445">
        <f t="shared" si="34"/>
        <v>2.2914353690609071</v>
      </c>
      <c r="AJ283" s="445">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4423</v>
      </c>
      <c r="B284">
        <v>2025</v>
      </c>
      <c r="C284" t="s">
        <v>766</v>
      </c>
      <c r="D284" t="s">
        <v>1473</v>
      </c>
      <c r="E284" t="s">
        <v>2998</v>
      </c>
      <c r="F284">
        <v>18</v>
      </c>
      <c r="G284" s="520">
        <v>13824.22464</v>
      </c>
      <c r="H284" s="520">
        <v>28.233574479703055</v>
      </c>
      <c r="I284" s="520">
        <v>10722.615</v>
      </c>
      <c r="J284" s="520">
        <v>61.624000000000002</v>
      </c>
      <c r="K284" s="520">
        <v>45</v>
      </c>
      <c r="L284" s="520">
        <v>2809.082446848</v>
      </c>
      <c r="M284" s="520">
        <v>718.42499999999995</v>
      </c>
      <c r="N284" s="520"/>
      <c r="O284" s="520">
        <v>101.528340660366</v>
      </c>
      <c r="P284" s="520">
        <v>4861.5291151887204</v>
      </c>
      <c r="Q284" s="520">
        <v>2405.33</v>
      </c>
      <c r="R284" s="520">
        <v>778.73987613828695</v>
      </c>
      <c r="S284" s="520">
        <v>31.4924926221776</v>
      </c>
      <c r="T284" s="520">
        <v>42.069754417278602</v>
      </c>
      <c r="U284" s="520"/>
      <c r="V284" s="520"/>
      <c r="W284" s="520"/>
      <c r="X284" s="520">
        <v>13.026315789473699</v>
      </c>
      <c r="Y284" s="520"/>
      <c r="Z284" s="520">
        <v>271.96897572222701</v>
      </c>
      <c r="AA284" s="520">
        <v>173.88831825808501</v>
      </c>
      <c r="AB284" s="925">
        <v>23036.319635644599</v>
      </c>
      <c r="AC284" s="926">
        <v>40.391297816750189</v>
      </c>
      <c r="AD284" s="927">
        <v>105.98654330648617</v>
      </c>
      <c r="AE284" s="927">
        <v>181.62414811670175</v>
      </c>
      <c r="AF284" s="926">
        <v>316.84591474541514</v>
      </c>
      <c r="AH284" s="206">
        <f t="shared" si="41"/>
        <v>26408.047067227504</v>
      </c>
      <c r="AI284" s="445">
        <f t="shared" si="34"/>
        <v>2.2192922979028173</v>
      </c>
      <c r="AJ284" s="445">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4423</v>
      </c>
      <c r="B285">
        <v>2025</v>
      </c>
      <c r="C285" t="s">
        <v>766</v>
      </c>
      <c r="D285" t="s">
        <v>1476</v>
      </c>
      <c r="E285" t="s">
        <v>2998</v>
      </c>
      <c r="F285">
        <v>22</v>
      </c>
      <c r="G285" s="520">
        <v>16891.03584</v>
      </c>
      <c r="H285" s="520">
        <v>28.083198727701596</v>
      </c>
      <c r="I285" s="520">
        <v>13829.757900000001</v>
      </c>
      <c r="J285" s="520">
        <v>61.624000000000002</v>
      </c>
      <c r="K285" s="520">
        <v>45</v>
      </c>
      <c r="L285" s="520">
        <v>3432.2584826880002</v>
      </c>
      <c r="M285" s="520">
        <v>636.81299999999999</v>
      </c>
      <c r="N285" s="520"/>
      <c r="O285" s="520">
        <v>101.528340660366</v>
      </c>
      <c r="P285" s="520">
        <v>4861.5291151887204</v>
      </c>
      <c r="Q285" s="520">
        <v>2405.33</v>
      </c>
      <c r="R285" s="520">
        <v>778.73987613828695</v>
      </c>
      <c r="S285" s="520">
        <v>43.546580425177098</v>
      </c>
      <c r="T285" s="520">
        <v>42.069754417278602</v>
      </c>
      <c r="U285" s="520"/>
      <c r="V285" s="520"/>
      <c r="W285" s="520"/>
      <c r="X285" s="520">
        <v>14.210526315789499</v>
      </c>
      <c r="Y285" s="520"/>
      <c r="Z285" s="520">
        <v>374.90339219017</v>
      </c>
      <c r="AA285" s="520">
        <v>173.88831825808501</v>
      </c>
      <c r="AB285" s="925">
        <v>26801.199286281899</v>
      </c>
      <c r="AC285" s="926">
        <v>33.450306169552675</v>
      </c>
      <c r="AD285" s="927">
        <v>84.155428073920902</v>
      </c>
      <c r="AE285" s="927">
        <v>224.23911756782175</v>
      </c>
      <c r="AF285" s="926">
        <v>390.50628387246348</v>
      </c>
      <c r="AH285" s="206">
        <f t="shared" si="41"/>
        <v>30723.976025889689</v>
      </c>
      <c r="AI285" s="445">
        <f t="shared" si="34"/>
        <v>2.7950082915010377</v>
      </c>
      <c r="AJ285" s="445">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4423</v>
      </c>
      <c r="B286">
        <v>2025</v>
      </c>
      <c r="C286" t="s">
        <v>766</v>
      </c>
      <c r="D286" t="s">
        <v>930</v>
      </c>
      <c r="E286" t="s">
        <v>2998</v>
      </c>
      <c r="F286">
        <v>18</v>
      </c>
      <c r="G286" s="520">
        <v>20335.68288</v>
      </c>
      <c r="H286" s="520">
        <v>30.029862530947248</v>
      </c>
      <c r="I286" s="520">
        <v>14782.2145</v>
      </c>
      <c r="J286" s="520">
        <v>61.624000000000002</v>
      </c>
      <c r="K286" s="520">
        <v>45</v>
      </c>
      <c r="L286" s="520">
        <v>4132.2107612159998</v>
      </c>
      <c r="M286" s="520">
        <v>767.53800000000001</v>
      </c>
      <c r="N286" s="520"/>
      <c r="O286" s="520">
        <v>101.528340660366</v>
      </c>
      <c r="P286" s="520">
        <v>5522.4138983335097</v>
      </c>
      <c r="Q286" s="520">
        <v>2405.33</v>
      </c>
      <c r="R286" s="520">
        <v>778.73987613828695</v>
      </c>
      <c r="S286" s="520">
        <v>62.352536602948803</v>
      </c>
      <c r="T286" s="520">
        <v>42.069754417278602</v>
      </c>
      <c r="U286" s="520"/>
      <c r="V286" s="520"/>
      <c r="W286" s="520"/>
      <c r="X286" s="520">
        <v>14.210526315789499</v>
      </c>
      <c r="Y286" s="520"/>
      <c r="Z286" s="520">
        <v>455.20615054848003</v>
      </c>
      <c r="AA286" s="520">
        <v>173.88831825808501</v>
      </c>
      <c r="AB286" s="925">
        <v>29344.326662490701</v>
      </c>
      <c r="AC286" s="926">
        <v>28.845066020035983</v>
      </c>
      <c r="AD286" s="927">
        <v>70.348256794115031</v>
      </c>
      <c r="AE286" s="927">
        <v>265.147006759536</v>
      </c>
      <c r="AF286" s="926">
        <v>441.45619704063625</v>
      </c>
      <c r="AH286" s="206">
        <f t="shared" si="41"/>
        <v>33639.33006295385</v>
      </c>
      <c r="AI286" s="445">
        <f t="shared" si="34"/>
        <v>3.3435813474358191</v>
      </c>
      <c r="AJ286" s="445">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4423</v>
      </c>
      <c r="B287">
        <v>2025</v>
      </c>
      <c r="C287" t="s">
        <v>766</v>
      </c>
      <c r="D287" t="s">
        <v>1475</v>
      </c>
      <c r="E287" t="s">
        <v>2998</v>
      </c>
      <c r="F287">
        <v>13</v>
      </c>
      <c r="G287" s="520">
        <v>15704.11584</v>
      </c>
      <c r="H287" s="520">
        <v>28.003892276803647</v>
      </c>
      <c r="I287" s="520">
        <v>12670.94</v>
      </c>
      <c r="J287" s="520">
        <v>61.624000000000002</v>
      </c>
      <c r="K287" s="520">
        <v>45</v>
      </c>
      <c r="L287" s="520">
        <v>3191.0763386879999</v>
      </c>
      <c r="M287" s="520">
        <v>605.99699999999996</v>
      </c>
      <c r="N287" s="520"/>
      <c r="O287" s="520">
        <v>101.528340660366</v>
      </c>
      <c r="P287" s="520">
        <v>4861.5291151887204</v>
      </c>
      <c r="Q287" s="520">
        <v>2405.33</v>
      </c>
      <c r="R287" s="520">
        <v>778.73987613828695</v>
      </c>
      <c r="S287" s="520">
        <v>41.6323692038536</v>
      </c>
      <c r="T287" s="520">
        <v>42.069754417278602</v>
      </c>
      <c r="U287" s="520"/>
      <c r="V287" s="520"/>
      <c r="W287" s="520"/>
      <c r="X287" s="520">
        <v>14.210526315789499</v>
      </c>
      <c r="Y287" s="520"/>
      <c r="Z287" s="520">
        <v>333.79094728013303</v>
      </c>
      <c r="AA287" s="520">
        <v>173.88831825808501</v>
      </c>
      <c r="AB287" s="925">
        <v>25327.356586150501</v>
      </c>
      <c r="AC287" s="926">
        <v>35.889817903452716</v>
      </c>
      <c r="AD287" s="927">
        <v>91.345406394799582</v>
      </c>
      <c r="AE287" s="927">
        <v>207.86670709981945</v>
      </c>
      <c r="AF287" s="926">
        <v>364.19662046413094</v>
      </c>
      <c r="AH287" s="206">
        <f t="shared" si="41"/>
        <v>29034.413282779638</v>
      </c>
      <c r="AI287" s="445">
        <f t="shared" si="34"/>
        <v>2.575007638860527</v>
      </c>
      <c r="AJ287" s="445">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4423</v>
      </c>
      <c r="B288">
        <v>2030</v>
      </c>
      <c r="C288" t="s">
        <v>766</v>
      </c>
      <c r="D288" t="s">
        <v>482</v>
      </c>
      <c r="E288" t="s">
        <v>2998</v>
      </c>
      <c r="F288">
        <v>12</v>
      </c>
      <c r="G288" s="520">
        <v>12182.205599999999</v>
      </c>
      <c r="H288" s="520">
        <v>28.801008307292996</v>
      </c>
      <c r="I288" s="520">
        <v>8040.6837999999998</v>
      </c>
      <c r="J288" s="520">
        <v>61.624000000000002</v>
      </c>
      <c r="K288" s="520">
        <v>30</v>
      </c>
      <c r="L288" s="520">
        <v>2192.797008</v>
      </c>
      <c r="M288" s="520">
        <v>419.226</v>
      </c>
      <c r="N288" s="520"/>
      <c r="O288" s="520">
        <v>96.552441750865398</v>
      </c>
      <c r="P288" s="520">
        <v>5096.4081318005401</v>
      </c>
      <c r="Q288" s="520">
        <v>2393.61</v>
      </c>
      <c r="R288" s="520">
        <v>703.91916933885398</v>
      </c>
      <c r="S288" s="520">
        <v>23.0465610789721</v>
      </c>
      <c r="T288" s="520">
        <v>40.007917852568497</v>
      </c>
      <c r="U288" s="520"/>
      <c r="V288" s="520"/>
      <c r="W288" s="520"/>
      <c r="X288" s="520">
        <v>8.6842105263157894</v>
      </c>
      <c r="Y288" s="520"/>
      <c r="Z288" s="520">
        <v>258.639789793332</v>
      </c>
      <c r="AA288" s="520">
        <v>165.366060457283</v>
      </c>
      <c r="AB288" s="925">
        <v>19530.565090598699</v>
      </c>
      <c r="AC288" s="926">
        <v>44.635342243500602</v>
      </c>
      <c r="AD288" s="927">
        <v>121.19992272846982</v>
      </c>
      <c r="AE288" s="927">
        <v>173.73833050544459</v>
      </c>
      <c r="AF288" s="926">
        <v>299.60730704465789</v>
      </c>
      <c r="AH288" s="206">
        <f t="shared" si="41"/>
        <v>22389.170245928861</v>
      </c>
      <c r="AI288" s="445">
        <f t="shared" si="34"/>
        <v>1.9407200429359366</v>
      </c>
      <c r="AJ288" s="445">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4423</v>
      </c>
      <c r="B289">
        <v>2030</v>
      </c>
      <c r="C289" t="s">
        <v>766</v>
      </c>
      <c r="D289" t="s">
        <v>1473</v>
      </c>
      <c r="E289" t="s">
        <v>2998</v>
      </c>
      <c r="F289">
        <v>13</v>
      </c>
      <c r="G289" s="520">
        <v>12821.014800000001</v>
      </c>
      <c r="H289" s="520">
        <v>28.433764333225334</v>
      </c>
      <c r="I289" s="520">
        <v>10780.334999999999</v>
      </c>
      <c r="J289" s="520">
        <v>61.624000000000002</v>
      </c>
      <c r="K289" s="520">
        <v>30</v>
      </c>
      <c r="L289" s="520">
        <v>2307.7826639999998</v>
      </c>
      <c r="M289" s="520">
        <v>465.74400000000003</v>
      </c>
      <c r="N289" s="520"/>
      <c r="O289" s="520">
        <v>96.552441750865398</v>
      </c>
      <c r="P289" s="520">
        <v>5096.4081318005401</v>
      </c>
      <c r="Q289" s="520">
        <v>2393.61</v>
      </c>
      <c r="R289" s="520">
        <v>703.91916933885398</v>
      </c>
      <c r="S289" s="520">
        <v>32.358501756290003</v>
      </c>
      <c r="T289" s="520">
        <v>40.007917852568497</v>
      </c>
      <c r="U289" s="520"/>
      <c r="V289" s="520"/>
      <c r="W289" s="520"/>
      <c r="X289" s="520">
        <v>8.6842105263157894</v>
      </c>
      <c r="Y289" s="520"/>
      <c r="Z289" s="520">
        <v>258.639789793332</v>
      </c>
      <c r="AA289" s="520">
        <v>165.366060457283</v>
      </c>
      <c r="AB289" s="925">
        <v>22441.031887276102</v>
      </c>
      <c r="AC289" s="926">
        <v>42.768885565949482</v>
      </c>
      <c r="AD289" s="927">
        <v>114.06310704996623</v>
      </c>
      <c r="AE289" s="927">
        <v>183.06883439398405</v>
      </c>
      <c r="AF289" s="926">
        <v>318.1928082586025</v>
      </c>
      <c r="AH289" s="206">
        <f t="shared" si="41"/>
        <v>25725.629600978482</v>
      </c>
      <c r="AI289" s="445">
        <f t="shared" si="34"/>
        <v>2.0621489745881667</v>
      </c>
      <c r="AJ289" s="445">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4423</v>
      </c>
      <c r="B290">
        <v>2030</v>
      </c>
      <c r="C290" t="s">
        <v>766</v>
      </c>
      <c r="D290" t="s">
        <v>1476</v>
      </c>
      <c r="E290" t="s">
        <v>2998</v>
      </c>
      <c r="F290">
        <v>16</v>
      </c>
      <c r="G290" s="520">
        <v>15728.029200000001</v>
      </c>
      <c r="H290" s="520">
        <v>28.556093676947452</v>
      </c>
      <c r="I290" s="520">
        <v>13893.2291</v>
      </c>
      <c r="J290" s="520">
        <v>61.624000000000002</v>
      </c>
      <c r="K290" s="520">
        <v>30</v>
      </c>
      <c r="L290" s="520">
        <v>2831.0452559999999</v>
      </c>
      <c r="M290" s="520">
        <v>412.98</v>
      </c>
      <c r="N290" s="520"/>
      <c r="O290" s="520">
        <v>96.552441750865398</v>
      </c>
      <c r="P290" s="520">
        <v>5096.4081318005401</v>
      </c>
      <c r="Q290" s="520">
        <v>2393.61</v>
      </c>
      <c r="R290" s="520">
        <v>703.91916933885398</v>
      </c>
      <c r="S290" s="520">
        <v>40.7682638860324</v>
      </c>
      <c r="T290" s="520">
        <v>40.007917852568497</v>
      </c>
      <c r="U290" s="520"/>
      <c r="V290" s="520"/>
      <c r="W290" s="520"/>
      <c r="X290" s="520">
        <v>9.4736842105263204</v>
      </c>
      <c r="Y290" s="520"/>
      <c r="Z290" s="520">
        <v>356.52939564660898</v>
      </c>
      <c r="AA290" s="520">
        <v>165.366060457283</v>
      </c>
      <c r="AB290" s="925">
        <v>26131.513420943302</v>
      </c>
      <c r="AC290" s="926">
        <v>35.318765871428177</v>
      </c>
      <c r="AD290" s="927">
        <v>89.825474646277286</v>
      </c>
      <c r="AE290" s="927">
        <v>226.97849541384915</v>
      </c>
      <c r="AF290" s="926">
        <v>390.97520430415182</v>
      </c>
      <c r="AH290" s="206">
        <f t="shared" si="41"/>
        <v>29956.27110896563</v>
      </c>
      <c r="AI290" s="445">
        <f t="shared" si="34"/>
        <v>2.6185791966886796</v>
      </c>
      <c r="AJ290" s="445">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4423</v>
      </c>
      <c r="B291">
        <v>2030</v>
      </c>
      <c r="C291" t="s">
        <v>766</v>
      </c>
      <c r="D291" t="s">
        <v>930</v>
      </c>
      <c r="E291" t="s">
        <v>2998</v>
      </c>
      <c r="F291">
        <v>12</v>
      </c>
      <c r="G291" s="520">
        <v>18931.968000000001</v>
      </c>
      <c r="H291" s="520">
        <v>30.237152362358017</v>
      </c>
      <c r="I291" s="520">
        <v>14862.970499999999</v>
      </c>
      <c r="J291" s="520">
        <v>61.624000000000002</v>
      </c>
      <c r="K291" s="520">
        <v>30</v>
      </c>
      <c r="L291" s="520">
        <v>3407.7542400000002</v>
      </c>
      <c r="M291" s="520">
        <v>497.92200000000003</v>
      </c>
      <c r="N291" s="520"/>
      <c r="O291" s="520">
        <v>96.552441750865398</v>
      </c>
      <c r="P291" s="520">
        <v>5883.6387774371897</v>
      </c>
      <c r="Q291" s="520">
        <v>2393.61</v>
      </c>
      <c r="R291" s="520">
        <v>703.91916933885398</v>
      </c>
      <c r="S291" s="520">
        <v>60.996747247305301</v>
      </c>
      <c r="T291" s="520">
        <v>40.007917852568497</v>
      </c>
      <c r="U291" s="520"/>
      <c r="V291" s="520"/>
      <c r="W291" s="520"/>
      <c r="X291" s="520">
        <v>9.4736842105263204</v>
      </c>
      <c r="Y291" s="520"/>
      <c r="Z291" s="520">
        <v>432.89651982488601</v>
      </c>
      <c r="AA291" s="520">
        <v>165.366060457283</v>
      </c>
      <c r="AB291" s="925">
        <v>28646.732058119502</v>
      </c>
      <c r="AC291" s="926">
        <v>30.33522804960969</v>
      </c>
      <c r="AD291" s="927">
        <v>74.909051422486911</v>
      </c>
      <c r="AE291" s="927">
        <v>268.62117464539659</v>
      </c>
      <c r="AF291" s="926">
        <v>445.82236139099462</v>
      </c>
      <c r="AH291" s="206">
        <f t="shared" si="41"/>
        <v>32839.631524408927</v>
      </c>
      <c r="AI291" s="445">
        <f t="shared" si="34"/>
        <v>3.1400093149600212</v>
      </c>
      <c r="AJ291" s="445">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4423</v>
      </c>
      <c r="B292">
        <v>2030</v>
      </c>
      <c r="C292" t="s">
        <v>766</v>
      </c>
      <c r="D292" t="s">
        <v>1475</v>
      </c>
      <c r="E292" t="s">
        <v>2998</v>
      </c>
      <c r="F292">
        <v>10</v>
      </c>
      <c r="G292" s="520">
        <v>14665.51008</v>
      </c>
      <c r="H292" s="520">
        <v>28.194792272579761</v>
      </c>
      <c r="I292" s="520">
        <v>12731.26</v>
      </c>
      <c r="J292" s="520">
        <v>61.624000000000002</v>
      </c>
      <c r="K292" s="520">
        <v>30</v>
      </c>
      <c r="L292" s="520">
        <v>2639.7918144</v>
      </c>
      <c r="M292" s="520">
        <v>509.892</v>
      </c>
      <c r="N292" s="520"/>
      <c r="O292" s="520">
        <v>96.552441750865398</v>
      </c>
      <c r="P292" s="520">
        <v>5096.4081318005401</v>
      </c>
      <c r="Q292" s="520">
        <v>2393.61</v>
      </c>
      <c r="R292" s="520">
        <v>703.91916933885398</v>
      </c>
      <c r="S292" s="520">
        <v>32.211966089168598</v>
      </c>
      <c r="T292" s="520">
        <v>40.007917852568497</v>
      </c>
      <c r="U292" s="520"/>
      <c r="V292" s="520"/>
      <c r="W292" s="520"/>
      <c r="X292" s="520">
        <v>9.4736842105263204</v>
      </c>
      <c r="Y292" s="520"/>
      <c r="Z292" s="520">
        <v>317.43186961010201</v>
      </c>
      <c r="AA292" s="520">
        <v>165.366060457283</v>
      </c>
      <c r="AB292" s="925">
        <v>24827.549055509899</v>
      </c>
      <c r="AC292" s="926">
        <v>37.281645393331161</v>
      </c>
      <c r="AD292" s="927">
        <v>96.399353060085616</v>
      </c>
      <c r="AE292" s="927">
        <v>210.75037415311317</v>
      </c>
      <c r="AF292" s="926">
        <v>368.83463775002195</v>
      </c>
      <c r="AH292" s="206">
        <f t="shared" si="41"/>
        <v>28461.451064748562</v>
      </c>
      <c r="AI292" s="445">
        <f t="shared" si="34"/>
        <v>2.4400072383765772</v>
      </c>
      <c r="AJ292" s="445">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4423</v>
      </c>
      <c r="B293">
        <v>2035</v>
      </c>
      <c r="C293" t="s">
        <v>766</v>
      </c>
      <c r="D293" t="s">
        <v>482</v>
      </c>
      <c r="E293" t="s">
        <v>2998</v>
      </c>
      <c r="F293">
        <v>10</v>
      </c>
      <c r="G293" s="520">
        <v>11345.4216</v>
      </c>
      <c r="H293" s="520">
        <v>28.612639690413907</v>
      </c>
      <c r="I293" s="520">
        <v>8040.6837999999998</v>
      </c>
      <c r="J293" s="520">
        <v>61.624000000000002</v>
      </c>
      <c r="K293" s="520">
        <v>25</v>
      </c>
      <c r="L293" s="520">
        <v>1815.267456</v>
      </c>
      <c r="M293" s="520">
        <v>324.86880000000002</v>
      </c>
      <c r="N293" s="520"/>
      <c r="O293" s="520">
        <v>91.820411398622298</v>
      </c>
      <c r="P293" s="520">
        <v>5796.5136592810904</v>
      </c>
      <c r="Q293" s="520">
        <v>2393.61</v>
      </c>
      <c r="R293" s="520">
        <v>636.28717643157097</v>
      </c>
      <c r="S293" s="520">
        <v>22.0210457640881</v>
      </c>
      <c r="T293" s="520">
        <v>38.0471317950092</v>
      </c>
      <c r="U293" s="520"/>
      <c r="V293" s="520"/>
      <c r="W293" s="520"/>
      <c r="X293" s="520">
        <v>7.2368421052631602</v>
      </c>
      <c r="Y293" s="520"/>
      <c r="Z293" s="520">
        <v>245.96386660168599</v>
      </c>
      <c r="AA293" s="520">
        <v>157.26147808603801</v>
      </c>
      <c r="AB293" s="925">
        <v>19656.2056674634</v>
      </c>
      <c r="AC293" s="926">
        <v>49.700521181671292</v>
      </c>
      <c r="AD293" s="927">
        <v>137.66730353396846</v>
      </c>
      <c r="AE293" s="927">
        <v>161.06123922119315</v>
      </c>
      <c r="AF293" s="926">
        <v>280.20033176903553</v>
      </c>
      <c r="AH293" s="206">
        <f t="shared" si="41"/>
        <v>22533.200295861956</v>
      </c>
      <c r="AI293" s="445">
        <f t="shared" si="34"/>
        <v>1.7085764971302022</v>
      </c>
      <c r="AJ293" s="445">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4423</v>
      </c>
      <c r="B294">
        <v>2035</v>
      </c>
      <c r="C294" t="s">
        <v>766</v>
      </c>
      <c r="D294" t="s">
        <v>1473</v>
      </c>
      <c r="E294" t="s">
        <v>2998</v>
      </c>
      <c r="F294">
        <v>11</v>
      </c>
      <c r="G294" s="520">
        <v>11966.7672</v>
      </c>
      <c r="H294" s="520">
        <v>28.53898209898135</v>
      </c>
      <c r="I294" s="520">
        <v>10780.334999999999</v>
      </c>
      <c r="J294" s="520">
        <v>61.624000000000002</v>
      </c>
      <c r="K294" s="520">
        <v>25</v>
      </c>
      <c r="L294" s="520">
        <v>1914.6827519999999</v>
      </c>
      <c r="M294" s="520">
        <v>360.06240000000003</v>
      </c>
      <c r="N294" s="520"/>
      <c r="O294" s="520">
        <v>91.820411398622298</v>
      </c>
      <c r="P294" s="520">
        <v>5796.5136592810904</v>
      </c>
      <c r="Q294" s="520">
        <v>2393.61</v>
      </c>
      <c r="R294" s="520">
        <v>636.28717643157097</v>
      </c>
      <c r="S294" s="520">
        <v>30.371537246356802</v>
      </c>
      <c r="T294" s="520">
        <v>38.0471317950092</v>
      </c>
      <c r="U294" s="520"/>
      <c r="V294" s="520"/>
      <c r="W294" s="520"/>
      <c r="X294" s="520">
        <v>7.2368421052631602</v>
      </c>
      <c r="Y294" s="520"/>
      <c r="Z294" s="520">
        <v>245.96386660168599</v>
      </c>
      <c r="AA294" s="520">
        <v>157.26147808603801</v>
      </c>
      <c r="AB294" s="925">
        <v>22538.816254945599</v>
      </c>
      <c r="AC294" s="926">
        <v>47.800817812675973</v>
      </c>
      <c r="AD294" s="927">
        <v>130.46758718433142</v>
      </c>
      <c r="AE294" s="927">
        <v>170.10282835188346</v>
      </c>
      <c r="AF294" s="926">
        <v>292.53333939172529</v>
      </c>
      <c r="AH294" s="206">
        <f t="shared" si="41"/>
        <v>25837.726247695413</v>
      </c>
      <c r="AI294" s="445">
        <f t="shared" si="34"/>
        <v>1.802862491118993</v>
      </c>
      <c r="AJ294" s="445">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4423</v>
      </c>
      <c r="B295">
        <v>2035</v>
      </c>
      <c r="C295" t="s">
        <v>766</v>
      </c>
      <c r="D295" t="s">
        <v>1476</v>
      </c>
      <c r="E295" t="s">
        <v>2998</v>
      </c>
      <c r="F295">
        <v>15</v>
      </c>
      <c r="G295" s="520">
        <v>14611.877280000001</v>
      </c>
      <c r="H295" s="520">
        <v>28.802870398693521</v>
      </c>
      <c r="I295" s="520">
        <v>13893.2291</v>
      </c>
      <c r="J295" s="520">
        <v>61.624000000000002</v>
      </c>
      <c r="K295" s="520">
        <v>25</v>
      </c>
      <c r="L295" s="520">
        <v>2337.9003647999998</v>
      </c>
      <c r="M295" s="520">
        <v>419.1696</v>
      </c>
      <c r="N295" s="520"/>
      <c r="O295" s="520">
        <v>91.820411398622298</v>
      </c>
      <c r="P295" s="520">
        <v>5796.5136592810904</v>
      </c>
      <c r="Q295" s="520">
        <v>2393.61</v>
      </c>
      <c r="R295" s="520">
        <v>636.28717643157097</v>
      </c>
      <c r="S295" s="520">
        <v>32.712822458330798</v>
      </c>
      <c r="T295" s="520">
        <v>38.0471317950092</v>
      </c>
      <c r="U295" s="520"/>
      <c r="V295" s="520"/>
      <c r="W295" s="520"/>
      <c r="X295" s="520">
        <v>7.8947368421052602</v>
      </c>
      <c r="Y295" s="520"/>
      <c r="Z295" s="520">
        <v>339.05590775678502</v>
      </c>
      <c r="AA295" s="520">
        <v>157.26147808603801</v>
      </c>
      <c r="AB295" s="925">
        <v>26230.1263888496</v>
      </c>
      <c r="AC295" s="926">
        <v>40.453017322368574</v>
      </c>
      <c r="AD295" s="927">
        <v>107.75529779229466</v>
      </c>
      <c r="AE295" s="927">
        <v>207.14220866159542</v>
      </c>
      <c r="AF295" s="926">
        <v>359.88900283795135</v>
      </c>
      <c r="AH295" s="206">
        <f t="shared" si="41"/>
        <v>30069.317634586805</v>
      </c>
      <c r="AI295" s="445">
        <f t="shared" si="34"/>
        <v>2.1828636184071484</v>
      </c>
      <c r="AJ295" s="445">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4423</v>
      </c>
      <c r="B296">
        <v>2035</v>
      </c>
      <c r="C296" t="s">
        <v>766</v>
      </c>
      <c r="D296" t="s">
        <v>930</v>
      </c>
      <c r="E296" t="s">
        <v>2998</v>
      </c>
      <c r="F296">
        <v>11</v>
      </c>
      <c r="G296" s="520">
        <v>17499.952799999999</v>
      </c>
      <c r="H296" s="520">
        <v>29.515844277935997</v>
      </c>
      <c r="I296" s="520">
        <v>14862.970499999999</v>
      </c>
      <c r="J296" s="520">
        <v>61.624000000000002</v>
      </c>
      <c r="K296" s="520">
        <v>25</v>
      </c>
      <c r="L296" s="520">
        <v>2799.992448</v>
      </c>
      <c r="M296" s="520">
        <v>387.09120000000001</v>
      </c>
      <c r="N296" s="520"/>
      <c r="O296" s="520">
        <v>91.820411398622298</v>
      </c>
      <c r="P296" s="520">
        <v>6915.4971970985298</v>
      </c>
      <c r="Q296" s="520">
        <v>2393.61</v>
      </c>
      <c r="R296" s="520">
        <v>636.28717643157097</v>
      </c>
      <c r="S296" s="520">
        <v>57.724431965933903</v>
      </c>
      <c r="T296" s="520">
        <v>38.0471317950092</v>
      </c>
      <c r="U296" s="520"/>
      <c r="V296" s="520"/>
      <c r="W296" s="520"/>
      <c r="X296" s="520">
        <v>7.8947368421052602</v>
      </c>
      <c r="Y296" s="520"/>
      <c r="Z296" s="520">
        <v>411.68028298980403</v>
      </c>
      <c r="AA296" s="520">
        <v>157.26147808603801</v>
      </c>
      <c r="AB296" s="925">
        <v>28846.500994607599</v>
      </c>
      <c r="AC296" s="926">
        <v>34.494034764997011</v>
      </c>
      <c r="AD296" s="927">
        <v>86.589584552524983</v>
      </c>
      <c r="AE296" s="927">
        <v>247.36972718691203</v>
      </c>
      <c r="AF296" s="926">
        <v>421.56145185624615</v>
      </c>
      <c r="AH296" s="206">
        <f t="shared" si="41"/>
        <v>33068.639784443003</v>
      </c>
      <c r="AI296" s="445">
        <f t="shared" si="34"/>
        <v>2.7164366298437126</v>
      </c>
      <c r="AJ296" s="445">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4423</v>
      </c>
      <c r="B297">
        <v>2035</v>
      </c>
      <c r="C297" t="s">
        <v>766</v>
      </c>
      <c r="D297" t="s">
        <v>1475</v>
      </c>
      <c r="E297" t="s">
        <v>2998</v>
      </c>
      <c r="F297">
        <v>8</v>
      </c>
      <c r="G297" s="520">
        <v>13613.078159999999</v>
      </c>
      <c r="H297" s="520">
        <v>28.008773618343813</v>
      </c>
      <c r="I297" s="520">
        <v>12731.26</v>
      </c>
      <c r="J297" s="520">
        <v>61.624000000000002</v>
      </c>
      <c r="K297" s="520">
        <v>25</v>
      </c>
      <c r="L297" s="520">
        <v>2178.0925056000001</v>
      </c>
      <c r="M297" s="520">
        <v>392.98079999999999</v>
      </c>
      <c r="N297" s="520"/>
      <c r="O297" s="520">
        <v>91.820411398622298</v>
      </c>
      <c r="P297" s="520">
        <v>5796.5136592810904</v>
      </c>
      <c r="Q297" s="520">
        <v>2393.61</v>
      </c>
      <c r="R297" s="520">
        <v>636.28717643157097</v>
      </c>
      <c r="S297" s="520">
        <v>32.952012093548802</v>
      </c>
      <c r="T297" s="520">
        <v>38.0471317950092</v>
      </c>
      <c r="U297" s="520"/>
      <c r="V297" s="520"/>
      <c r="W297" s="520"/>
      <c r="X297" s="520">
        <v>7.8947368421052602</v>
      </c>
      <c r="Y297" s="520"/>
      <c r="Z297" s="520">
        <v>301.87454952036097</v>
      </c>
      <c r="AA297" s="520">
        <v>157.26147808603801</v>
      </c>
      <c r="AB297" s="925">
        <v>24845.2184610484</v>
      </c>
      <c r="AC297" s="926">
        <v>42.462625143022954</v>
      </c>
      <c r="AD297" s="927">
        <v>112.04497790175316</v>
      </c>
      <c r="AE297" s="927">
        <v>194.96226242840916</v>
      </c>
      <c r="AF297" s="926">
        <v>340.40438067733595</v>
      </c>
      <c r="AH297" s="206">
        <f t="shared" si="41"/>
        <v>28481.706665490819</v>
      </c>
      <c r="AI297" s="445">
        <f t="shared" si="34"/>
        <v>2.0992919419170839</v>
      </c>
      <c r="AJ297" s="445">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4423</v>
      </c>
      <c r="B298">
        <v>2050</v>
      </c>
      <c r="C298" t="s">
        <v>766</v>
      </c>
      <c r="D298" t="s">
        <v>482</v>
      </c>
      <c r="E298" t="s">
        <v>2998</v>
      </c>
      <c r="F298">
        <v>9</v>
      </c>
      <c r="G298" s="520">
        <v>9852.2135999999991</v>
      </c>
      <c r="H298" s="520">
        <v>28.849771850432937</v>
      </c>
      <c r="I298" s="520">
        <v>8067.6769999999997</v>
      </c>
      <c r="J298" s="520">
        <v>61.624000000000002</v>
      </c>
      <c r="K298" s="520">
        <v>13.33</v>
      </c>
      <c r="L298" s="520">
        <v>1418.7187584000001</v>
      </c>
      <c r="M298" s="520">
        <v>146.82599999999999</v>
      </c>
      <c r="N298" s="520"/>
      <c r="O298" s="520">
        <v>78.970911949985293</v>
      </c>
      <c r="P298" s="520">
        <v>5796.5136592810904</v>
      </c>
      <c r="Q298" s="520">
        <v>2393.61</v>
      </c>
      <c r="R298" s="520">
        <v>469.94204892184302</v>
      </c>
      <c r="S298" s="520">
        <v>19.1078338509997</v>
      </c>
      <c r="T298" s="520">
        <v>32.722753570435898</v>
      </c>
      <c r="U298" s="520"/>
      <c r="V298" s="520"/>
      <c r="W298" s="520"/>
      <c r="X298" s="520">
        <v>3.8586842105263202</v>
      </c>
      <c r="Y298" s="520"/>
      <c r="Z298" s="520">
        <v>211.543278410656</v>
      </c>
      <c r="AA298" s="520">
        <v>135.25404809113499</v>
      </c>
      <c r="AB298" s="925">
        <v>18849.698976686701</v>
      </c>
      <c r="AC298" s="926">
        <v>55.222622516274853</v>
      </c>
      <c r="AD298" s="927">
        <v>158.31739906406372</v>
      </c>
      <c r="AE298" s="927">
        <v>149.92527209065372</v>
      </c>
      <c r="AF298" s="926">
        <v>261.10407969959482</v>
      </c>
      <c r="AH298" s="206">
        <f t="shared" si="41"/>
        <v>21608.648675337048</v>
      </c>
      <c r="AI298" s="445">
        <f t="shared" si="34"/>
        <v>1.4857186931566977</v>
      </c>
      <c r="AJ298" s="445">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4423</v>
      </c>
      <c r="B299">
        <v>2050</v>
      </c>
      <c r="C299" t="s">
        <v>766</v>
      </c>
      <c r="D299" t="s">
        <v>1473</v>
      </c>
      <c r="E299" t="s">
        <v>2998</v>
      </c>
      <c r="F299">
        <v>11</v>
      </c>
      <c r="G299" s="520">
        <v>10414.850399999999</v>
      </c>
      <c r="H299" s="520">
        <v>28.695024136456148</v>
      </c>
      <c r="I299" s="520">
        <v>10812.525</v>
      </c>
      <c r="J299" s="520">
        <v>61.624000000000002</v>
      </c>
      <c r="K299" s="520">
        <v>13.33</v>
      </c>
      <c r="L299" s="520">
        <v>1499.7384575999999</v>
      </c>
      <c r="M299" s="520">
        <v>162.82575</v>
      </c>
      <c r="N299" s="520"/>
      <c r="O299" s="520">
        <v>78.970911949985293</v>
      </c>
      <c r="P299" s="520">
        <v>5796.5136592810904</v>
      </c>
      <c r="Q299" s="520">
        <v>2393.61</v>
      </c>
      <c r="R299" s="520">
        <v>469.94204892184302</v>
      </c>
      <c r="S299" s="520">
        <v>27.092338428369398</v>
      </c>
      <c r="T299" s="520">
        <v>32.722753570435898</v>
      </c>
      <c r="U299" s="520"/>
      <c r="V299" s="520"/>
      <c r="W299" s="520"/>
      <c r="X299" s="520">
        <v>3.8586842105263202</v>
      </c>
      <c r="Y299" s="520"/>
      <c r="Z299" s="520">
        <v>211.543278410656</v>
      </c>
      <c r="AA299" s="520">
        <v>135.25404809113499</v>
      </c>
      <c r="AB299" s="925">
        <v>21699.550930464</v>
      </c>
      <c r="AC299" s="926">
        <v>53.122511863850903</v>
      </c>
      <c r="AD299" s="927">
        <v>149.74997273908707</v>
      </c>
      <c r="AE299" s="927">
        <v>158.64482784356801</v>
      </c>
      <c r="AF299" s="926">
        <v>274.267715443312</v>
      </c>
      <c r="AH299" s="206">
        <f t="shared" si="41"/>
        <v>24875.621252568148</v>
      </c>
      <c r="AI299" s="445">
        <f t="shared" si="34"/>
        <v>1.5707189453132591</v>
      </c>
      <c r="AJ299" s="445">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4423</v>
      </c>
      <c r="B300">
        <v>2050</v>
      </c>
      <c r="C300" t="s">
        <v>766</v>
      </c>
      <c r="D300" t="s">
        <v>1476</v>
      </c>
      <c r="E300" t="s">
        <v>2998</v>
      </c>
      <c r="F300">
        <v>13</v>
      </c>
      <c r="G300" s="520">
        <v>12591.89712</v>
      </c>
      <c r="H300" s="520">
        <v>29.101417295538273</v>
      </c>
      <c r="I300" s="520">
        <v>13928.6265</v>
      </c>
      <c r="J300" s="520">
        <v>61.624000000000002</v>
      </c>
      <c r="K300" s="520">
        <v>13.33</v>
      </c>
      <c r="L300" s="520">
        <v>1813.23318528</v>
      </c>
      <c r="M300" s="520">
        <v>188.13374999999999</v>
      </c>
      <c r="N300" s="520"/>
      <c r="O300" s="520">
        <v>78.970911949985293</v>
      </c>
      <c r="P300" s="520">
        <v>5796.5136592810904</v>
      </c>
      <c r="Q300" s="520">
        <v>2393.61</v>
      </c>
      <c r="R300" s="520">
        <v>469.94204892184302</v>
      </c>
      <c r="S300" s="520">
        <v>28.617029679953301</v>
      </c>
      <c r="T300" s="520">
        <v>32.722753570435898</v>
      </c>
      <c r="U300" s="520"/>
      <c r="V300" s="520"/>
      <c r="W300" s="520"/>
      <c r="X300" s="520">
        <v>4.20947368421053</v>
      </c>
      <c r="Y300" s="520"/>
      <c r="Z300" s="520">
        <v>291.60786615670901</v>
      </c>
      <c r="AA300" s="520">
        <v>135.25404809113499</v>
      </c>
      <c r="AB300" s="925">
        <v>25236.395226615401</v>
      </c>
      <c r="AC300" s="926">
        <v>45.585622200173219</v>
      </c>
      <c r="AD300" s="927">
        <v>125.30448632163336</v>
      </c>
      <c r="AE300" s="927">
        <v>191.47088148448228</v>
      </c>
      <c r="AF300" s="926">
        <v>331.63560505823858</v>
      </c>
      <c r="AH300" s="206">
        <f t="shared" si="41"/>
        <v>28930.138298672147</v>
      </c>
      <c r="AI300" s="445">
        <f t="shared" si="34"/>
        <v>1.8771484257768281</v>
      </c>
      <c r="AJ300" s="445">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4423</v>
      </c>
      <c r="B301">
        <v>2050</v>
      </c>
      <c r="C301" t="s">
        <v>766</v>
      </c>
      <c r="D301" t="s">
        <v>930</v>
      </c>
      <c r="E301" t="s">
        <v>2998</v>
      </c>
      <c r="F301">
        <v>10</v>
      </c>
      <c r="G301" s="520">
        <v>15060.34296</v>
      </c>
      <c r="H301" s="520">
        <v>29.477383655004701</v>
      </c>
      <c r="I301" s="520">
        <v>14908.0075</v>
      </c>
      <c r="J301" s="520">
        <v>61.624000000000002</v>
      </c>
      <c r="K301" s="520">
        <v>13.33</v>
      </c>
      <c r="L301" s="520">
        <v>2168.6893862400002</v>
      </c>
      <c r="M301" s="520">
        <v>174.74625</v>
      </c>
      <c r="N301" s="520"/>
      <c r="O301" s="520">
        <v>78.970911949985293</v>
      </c>
      <c r="P301" s="520">
        <v>6915.4971970985298</v>
      </c>
      <c r="Q301" s="520">
        <v>2393.61</v>
      </c>
      <c r="R301" s="520">
        <v>469.94204892184302</v>
      </c>
      <c r="S301" s="520">
        <v>50.738767297527502</v>
      </c>
      <c r="T301" s="520">
        <v>32.722753570435898</v>
      </c>
      <c r="U301" s="520"/>
      <c r="V301" s="520"/>
      <c r="W301" s="520"/>
      <c r="X301" s="520">
        <v>4.20947368421053</v>
      </c>
      <c r="Y301" s="520"/>
      <c r="Z301" s="520">
        <v>354.06906682647099</v>
      </c>
      <c r="AA301" s="520">
        <v>135.25404809113499</v>
      </c>
      <c r="AB301" s="925">
        <v>27761.4114036801</v>
      </c>
      <c r="AC301" s="926">
        <v>38.890728048971866</v>
      </c>
      <c r="AD301" s="927">
        <v>99.878735229982553</v>
      </c>
      <c r="AE301" s="927">
        <v>228.66549040873372</v>
      </c>
      <c r="AF301" s="926">
        <v>393.07180568605861</v>
      </c>
      <c r="AH301" s="206">
        <f t="shared" si="41"/>
        <v>31824.730277950766</v>
      </c>
      <c r="AI301" s="445">
        <f t="shared" si="34"/>
        <v>2.3550069862200158</v>
      </c>
      <c r="AJ301" s="445">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4423</v>
      </c>
      <c r="B302">
        <v>2050</v>
      </c>
      <c r="C302" t="s">
        <v>766</v>
      </c>
      <c r="D302" t="s">
        <v>1475</v>
      </c>
      <c r="E302" t="s">
        <v>2998</v>
      </c>
      <c r="F302">
        <v>8</v>
      </c>
      <c r="G302" s="520">
        <v>11751.7824</v>
      </c>
      <c r="H302" s="520">
        <v>29.382718057458938</v>
      </c>
      <c r="I302" s="520">
        <v>12764.9</v>
      </c>
      <c r="J302" s="520">
        <v>61.624000000000002</v>
      </c>
      <c r="K302" s="520">
        <v>13.33</v>
      </c>
      <c r="L302" s="520">
        <v>1692.2566655999999</v>
      </c>
      <c r="M302" s="520">
        <v>176.39775</v>
      </c>
      <c r="N302" s="520"/>
      <c r="O302" s="520">
        <v>78.970911949985293</v>
      </c>
      <c r="P302" s="520">
        <v>5796.5136592810904</v>
      </c>
      <c r="Q302" s="520">
        <v>2393.61</v>
      </c>
      <c r="R302" s="520">
        <v>469.94204892184302</v>
      </c>
      <c r="S302" s="520">
        <v>29.073184864725199</v>
      </c>
      <c r="T302" s="520">
        <v>32.722753570435898</v>
      </c>
      <c r="U302" s="520"/>
      <c r="V302" s="520"/>
      <c r="W302" s="520"/>
      <c r="X302" s="520">
        <v>4.20947368421053</v>
      </c>
      <c r="Y302" s="520"/>
      <c r="Z302" s="520">
        <v>259.62972836856198</v>
      </c>
      <c r="AA302" s="520">
        <v>135.25404809113499</v>
      </c>
      <c r="AB302" s="925">
        <v>23908.434224331999</v>
      </c>
      <c r="AC302" s="926">
        <v>48.620397823939754</v>
      </c>
      <c r="AD302" s="927">
        <v>136.41267193589582</v>
      </c>
      <c r="AE302" s="927">
        <v>178.12516677751086</v>
      </c>
      <c r="AF302" s="926">
        <v>303.28826434235964</v>
      </c>
      <c r="AH302" s="206">
        <f t="shared" si="41"/>
        <v>27407.809332656245</v>
      </c>
      <c r="AI302" s="445">
        <f t="shared" si="34"/>
        <v>1.7242908294616677</v>
      </c>
      <c r="AJ302" s="445">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4424</v>
      </c>
      <c r="B303">
        <v>2023</v>
      </c>
      <c r="C303" t="s">
        <v>766</v>
      </c>
      <c r="D303" t="s">
        <v>482</v>
      </c>
      <c r="E303" t="s">
        <v>2998</v>
      </c>
      <c r="F303">
        <v>116</v>
      </c>
      <c r="G303" s="520">
        <v>19822.7736</v>
      </c>
      <c r="H303" s="520">
        <v>39.92756173099967</v>
      </c>
      <c r="I303" s="520">
        <v>7949</v>
      </c>
      <c r="J303" s="520">
        <v>61.624000000000002</v>
      </c>
      <c r="K303" s="520">
        <v>75</v>
      </c>
      <c r="L303" s="520">
        <v>4440.3012864000002</v>
      </c>
      <c r="M303" s="520">
        <v>1053.8520000000001</v>
      </c>
      <c r="N303" s="520"/>
      <c r="O303" s="520">
        <v>103.589777227187</v>
      </c>
      <c r="P303" s="520">
        <v>4873.0882702123099</v>
      </c>
      <c r="Q303" s="520">
        <v>2431.3000000000002</v>
      </c>
      <c r="R303" s="520">
        <v>810.84951701196098</v>
      </c>
      <c r="S303" s="520">
        <v>21.0110305748393</v>
      </c>
      <c r="T303" s="520">
        <v>42.923940839994501</v>
      </c>
      <c r="U303" s="520"/>
      <c r="V303" s="520"/>
      <c r="W303" s="520"/>
      <c r="X303" s="520">
        <v>21.710526315789501</v>
      </c>
      <c r="Y303" s="520"/>
      <c r="Z303" s="520">
        <v>277.49104756884702</v>
      </c>
      <c r="AA303" s="520">
        <v>177.418955471977</v>
      </c>
      <c r="AB303" s="925">
        <v>22339.160351622901</v>
      </c>
      <c r="AC303" s="926">
        <v>37.882932163640405</v>
      </c>
      <c r="AD303" s="927">
        <v>142.36929963391808</v>
      </c>
      <c r="AE303" s="927">
        <v>218.01582531338971</v>
      </c>
      <c r="AF303" s="926">
        <v>321.80399573996795</v>
      </c>
      <c r="AH303" s="206">
        <f t="shared" si="41"/>
        <v>25608.847565007</v>
      </c>
      <c r="AI303" s="445">
        <f t="shared" si="34"/>
        <v>1.652147758303578</v>
      </c>
      <c r="AJ303" s="445">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4424</v>
      </c>
      <c r="B304">
        <v>2023</v>
      </c>
      <c r="C304" t="s">
        <v>766</v>
      </c>
      <c r="D304" t="s">
        <v>1473</v>
      </c>
      <c r="E304" t="s">
        <v>2998</v>
      </c>
      <c r="F304">
        <v>121</v>
      </c>
      <c r="G304" s="520">
        <v>20752.277760000001</v>
      </c>
      <c r="H304" s="520">
        <v>40.889116785791501</v>
      </c>
      <c r="I304" s="520">
        <v>10671</v>
      </c>
      <c r="J304" s="520">
        <v>61.624000000000002</v>
      </c>
      <c r="K304" s="520">
        <v>75</v>
      </c>
      <c r="L304" s="520">
        <v>4648.5102182399996</v>
      </c>
      <c r="M304" s="520">
        <v>1017.288</v>
      </c>
      <c r="N304" s="520"/>
      <c r="O304" s="520">
        <v>103.589777227187</v>
      </c>
      <c r="P304" s="520">
        <v>4873.0882702123099</v>
      </c>
      <c r="Q304" s="520">
        <v>2431.3000000000002</v>
      </c>
      <c r="R304" s="520">
        <v>810.84951701196098</v>
      </c>
      <c r="S304" s="520">
        <v>32.966492737200198</v>
      </c>
      <c r="T304" s="520">
        <v>42.923940839994501</v>
      </c>
      <c r="U304" s="520"/>
      <c r="V304" s="520"/>
      <c r="W304" s="520"/>
      <c r="X304" s="520">
        <v>21.710526315789501</v>
      </c>
      <c r="Y304" s="520"/>
      <c r="Z304" s="520">
        <v>277.49104756884702</v>
      </c>
      <c r="AA304" s="520">
        <v>177.418955471977</v>
      </c>
      <c r="AB304" s="925">
        <v>25244.760745625299</v>
      </c>
      <c r="AC304" s="926">
        <v>37.332479963733796</v>
      </c>
      <c r="AD304" s="927">
        <v>136.18700994758169</v>
      </c>
      <c r="AE304" s="927">
        <v>227.54387786710174</v>
      </c>
      <c r="AF304" s="926">
        <v>327.887663962575</v>
      </c>
      <c r="AH304" s="206">
        <f t="shared" si="41"/>
        <v>28939.728242866764</v>
      </c>
      <c r="AI304" s="445">
        <f t="shared" si="34"/>
        <v>1.7271479807946613</v>
      </c>
      <c r="AJ304" s="445">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4424</v>
      </c>
      <c r="B305">
        <v>2023</v>
      </c>
      <c r="C305" t="s">
        <v>766</v>
      </c>
      <c r="D305" t="s">
        <v>1476</v>
      </c>
      <c r="E305" t="s">
        <v>2998</v>
      </c>
      <c r="F305">
        <v>149</v>
      </c>
      <c r="G305" s="520">
        <v>25388.85384</v>
      </c>
      <c r="H305" s="520">
        <v>40.349359737510341</v>
      </c>
      <c r="I305" s="520">
        <v>13773</v>
      </c>
      <c r="J305" s="520">
        <v>61.624000000000002</v>
      </c>
      <c r="K305" s="520">
        <v>75</v>
      </c>
      <c r="L305" s="520">
        <v>5687.10326016</v>
      </c>
      <c r="M305" s="520">
        <v>911.14800000000002</v>
      </c>
      <c r="N305" s="520"/>
      <c r="O305" s="520">
        <v>103.589777227187</v>
      </c>
      <c r="P305" s="520">
        <v>4873.0882702123099</v>
      </c>
      <c r="Q305" s="520">
        <v>2431.3000000000002</v>
      </c>
      <c r="R305" s="520">
        <v>810.84951701196098</v>
      </c>
      <c r="S305" s="520">
        <v>43.653275826787102</v>
      </c>
      <c r="T305" s="520">
        <v>42.923940839994501</v>
      </c>
      <c r="U305" s="520"/>
      <c r="V305" s="520"/>
      <c r="W305" s="520"/>
      <c r="X305" s="520">
        <v>23.684210526315798</v>
      </c>
      <c r="Y305" s="520"/>
      <c r="Z305" s="520">
        <v>382.51544963796499</v>
      </c>
      <c r="AA305" s="520">
        <v>177.418955471977</v>
      </c>
      <c r="AB305" s="925">
        <v>29396.898656914502</v>
      </c>
      <c r="AC305" s="926">
        <v>30.83719748994449</v>
      </c>
      <c r="AD305" s="927">
        <v>110.83816561873191</v>
      </c>
      <c r="AE305" s="927">
        <v>281.3505725952366</v>
      </c>
      <c r="AF305" s="926">
        <v>408.47150225822816</v>
      </c>
      <c r="AH305" s="206">
        <f t="shared" si="41"/>
        <v>33699.596795015234</v>
      </c>
      <c r="AI305" s="445">
        <f t="shared" si="34"/>
        <v>2.1221491525810334</v>
      </c>
      <c r="AJ305" s="445">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4424</v>
      </c>
      <c r="B306">
        <v>2023</v>
      </c>
      <c r="C306" t="s">
        <v>766</v>
      </c>
      <c r="D306" t="s">
        <v>930</v>
      </c>
      <c r="E306" t="s">
        <v>2998</v>
      </c>
      <c r="F306">
        <v>179</v>
      </c>
      <c r="G306" s="520">
        <v>30531.997439999999</v>
      </c>
      <c r="H306" s="520">
        <v>41.754032616878469</v>
      </c>
      <c r="I306" s="520">
        <v>14710</v>
      </c>
      <c r="J306" s="520">
        <v>61.624000000000002</v>
      </c>
      <c r="K306" s="520">
        <v>75</v>
      </c>
      <c r="L306" s="520">
        <v>6839.1674265600004</v>
      </c>
      <c r="M306" s="520">
        <v>1093.92</v>
      </c>
      <c r="N306" s="520"/>
      <c r="O306" s="520">
        <v>103.589777227187</v>
      </c>
      <c r="P306" s="520">
        <v>5535.0375169392701</v>
      </c>
      <c r="Q306" s="520">
        <v>2431.3000000000002</v>
      </c>
      <c r="R306" s="520">
        <v>810.84951701196098</v>
      </c>
      <c r="S306" s="520">
        <v>65.716715583141394</v>
      </c>
      <c r="T306" s="520">
        <v>42.923940839994501</v>
      </c>
      <c r="U306" s="520"/>
      <c r="V306" s="520"/>
      <c r="W306" s="520"/>
      <c r="X306" s="520">
        <v>23.684210526315798</v>
      </c>
      <c r="Y306" s="520"/>
      <c r="Z306" s="520">
        <v>464.44867926587</v>
      </c>
      <c r="AA306" s="520">
        <v>177.418955471977</v>
      </c>
      <c r="AB306" s="925">
        <v>32434.680739425701</v>
      </c>
      <c r="AC306" s="926">
        <v>26.57915383260034</v>
      </c>
      <c r="AD306" s="927">
        <v>90.691321964542155</v>
      </c>
      <c r="AE306" s="927">
        <v>330.26211152975543</v>
      </c>
      <c r="AF306" s="926">
        <v>477.31049990453675</v>
      </c>
      <c r="AH306" s="206">
        <f t="shared" si="41"/>
        <v>37182.00602894542</v>
      </c>
      <c r="AI306" s="445">
        <f t="shared" si="34"/>
        <v>2.5935791225249849</v>
      </c>
      <c r="AJ306" s="445">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4424</v>
      </c>
      <c r="B307">
        <v>2023</v>
      </c>
      <c r="C307" t="s">
        <v>766</v>
      </c>
      <c r="D307" t="s">
        <v>1475</v>
      </c>
      <c r="E307" t="s">
        <v>2998</v>
      </c>
      <c r="F307">
        <v>138</v>
      </c>
      <c r="G307" s="520">
        <v>23609.1024</v>
      </c>
      <c r="H307" s="520">
        <v>39.80873503770907</v>
      </c>
      <c r="I307" s="520">
        <v>12617</v>
      </c>
      <c r="J307" s="520">
        <v>61.624000000000002</v>
      </c>
      <c r="K307" s="520">
        <v>75</v>
      </c>
      <c r="L307" s="520">
        <v>5288.4389375999999</v>
      </c>
      <c r="M307" s="520">
        <v>861.6</v>
      </c>
      <c r="N307" s="520"/>
      <c r="O307" s="520">
        <v>103.589777227187</v>
      </c>
      <c r="P307" s="520">
        <v>4873.0882702123099</v>
      </c>
      <c r="Q307" s="520">
        <v>2431.3000000000002</v>
      </c>
      <c r="R307" s="520">
        <v>810.84951701196098</v>
      </c>
      <c r="S307" s="520">
        <v>44.634116490941601</v>
      </c>
      <c r="T307" s="520">
        <v>42.923940839994501</v>
      </c>
      <c r="U307" s="520"/>
      <c r="V307" s="520"/>
      <c r="W307" s="520"/>
      <c r="X307" s="520">
        <v>23.684210526315798</v>
      </c>
      <c r="Y307" s="520"/>
      <c r="Z307" s="520">
        <v>340.56825556589502</v>
      </c>
      <c r="AA307" s="520">
        <v>177.418955471977</v>
      </c>
      <c r="AB307" s="925">
        <v>27751.7199809466</v>
      </c>
      <c r="AC307" s="926">
        <v>33.055164136103294</v>
      </c>
      <c r="AD307" s="927">
        <v>120.44630214091165</v>
      </c>
      <c r="AE307" s="927">
        <v>261.08370940336459</v>
      </c>
      <c r="AF307" s="926">
        <v>385.2698307078017</v>
      </c>
      <c r="AH307" s="206">
        <f t="shared" si="41"/>
        <v>31813.620363183883</v>
      </c>
      <c r="AI307" s="445">
        <f t="shared" si="34"/>
        <v>1.9528629361011598</v>
      </c>
      <c r="AJ307" s="445">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4424</v>
      </c>
      <c r="B308">
        <v>2025</v>
      </c>
      <c r="C308" t="s">
        <v>766</v>
      </c>
      <c r="D308" t="s">
        <v>482</v>
      </c>
      <c r="E308" t="s">
        <v>2998</v>
      </c>
      <c r="F308">
        <v>101</v>
      </c>
      <c r="G308" s="520">
        <v>18961.510320000001</v>
      </c>
      <c r="H308" s="520">
        <v>39.616443723291781</v>
      </c>
      <c r="I308" s="520">
        <v>7992.2821999999996</v>
      </c>
      <c r="J308" s="520">
        <v>61.624000000000002</v>
      </c>
      <c r="K308" s="520">
        <v>45</v>
      </c>
      <c r="L308" s="520">
        <v>3852.9788970240002</v>
      </c>
      <c r="M308" s="520">
        <v>762.98400000000004</v>
      </c>
      <c r="N308" s="520"/>
      <c r="O308" s="520">
        <v>101.528340660366</v>
      </c>
      <c r="P308" s="520">
        <v>4861.5291151887204</v>
      </c>
      <c r="Q308" s="520">
        <v>2405.33</v>
      </c>
      <c r="R308" s="520">
        <v>778.73987613828695</v>
      </c>
      <c r="S308" s="520">
        <v>20.405092985012701</v>
      </c>
      <c r="T308" s="520">
        <v>42.069754417278602</v>
      </c>
      <c r="U308" s="520"/>
      <c r="V308" s="520"/>
      <c r="W308" s="520"/>
      <c r="X308" s="520">
        <v>13.026315789473699</v>
      </c>
      <c r="Y308" s="520"/>
      <c r="Z308" s="520">
        <v>271.96897572222701</v>
      </c>
      <c r="AA308" s="520">
        <v>173.88831825808501</v>
      </c>
      <c r="AB308" s="925">
        <v>21383.354886183501</v>
      </c>
      <c r="AC308" s="926">
        <v>40.082005817286571</v>
      </c>
      <c r="AD308" s="927">
        <v>146.94341367838129</v>
      </c>
      <c r="AE308" s="927">
        <v>209.68434443844802</v>
      </c>
      <c r="AF308" s="926">
        <v>310.07341282461664</v>
      </c>
      <c r="AH308" s="206">
        <f t="shared" si="41"/>
        <v>24513.144947676534</v>
      </c>
      <c r="AI308" s="445">
        <f t="shared" si="34"/>
        <v>1.6007190343096924</v>
      </c>
      <c r="AJ308" s="445">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4424</v>
      </c>
      <c r="B309">
        <v>2025</v>
      </c>
      <c r="C309" t="s">
        <v>766</v>
      </c>
      <c r="D309" t="s">
        <v>1473</v>
      </c>
      <c r="E309" t="s">
        <v>2998</v>
      </c>
      <c r="F309">
        <v>106</v>
      </c>
      <c r="G309" s="520">
        <v>19952.95032</v>
      </c>
      <c r="H309" s="520">
        <v>40.693243298348136</v>
      </c>
      <c r="I309" s="520">
        <v>10722.615</v>
      </c>
      <c r="J309" s="520">
        <v>61.624000000000002</v>
      </c>
      <c r="K309" s="520">
        <v>45</v>
      </c>
      <c r="L309" s="520">
        <v>4054.439505024</v>
      </c>
      <c r="M309" s="520">
        <v>742.21199999999999</v>
      </c>
      <c r="N309" s="520"/>
      <c r="O309" s="520">
        <v>101.528340660366</v>
      </c>
      <c r="P309" s="520">
        <v>4861.5291151887204</v>
      </c>
      <c r="Q309" s="520">
        <v>2405.33</v>
      </c>
      <c r="R309" s="520">
        <v>778.73987613828695</v>
      </c>
      <c r="S309" s="520">
        <v>32.031032222890303</v>
      </c>
      <c r="T309" s="520">
        <v>42.069754417278602</v>
      </c>
      <c r="U309" s="520"/>
      <c r="V309" s="520"/>
      <c r="W309" s="520"/>
      <c r="X309" s="520">
        <v>13.026315789473699</v>
      </c>
      <c r="Y309" s="520"/>
      <c r="Z309" s="520">
        <v>271.96897572222701</v>
      </c>
      <c r="AA309" s="520">
        <v>173.88831825808501</v>
      </c>
      <c r="AB309" s="925">
        <v>24306.002233421299</v>
      </c>
      <c r="AC309" s="926">
        <v>39.270734278899255</v>
      </c>
      <c r="AD309" s="927">
        <v>143.73644262472828</v>
      </c>
      <c r="AE309" s="927">
        <v>219.60030936789946</v>
      </c>
      <c r="AF309" s="926">
        <v>316.7044092114993</v>
      </c>
      <c r="AH309" s="206">
        <f t="shared" si="41"/>
        <v>27863.567668298056</v>
      </c>
      <c r="AI309" s="445">
        <f t="shared" si="34"/>
        <v>1.6364334259721129</v>
      </c>
      <c r="AJ309" s="445">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4424</v>
      </c>
      <c r="B310">
        <v>2025</v>
      </c>
      <c r="C310" t="s">
        <v>766</v>
      </c>
      <c r="D310" t="s">
        <v>1476</v>
      </c>
      <c r="E310" t="s">
        <v>2998</v>
      </c>
      <c r="F310">
        <v>130</v>
      </c>
      <c r="G310" s="520">
        <v>24346.483199999999</v>
      </c>
      <c r="H310" s="520">
        <v>40.372034708840459</v>
      </c>
      <c r="I310" s="520">
        <v>13829.757900000001</v>
      </c>
      <c r="J310" s="520">
        <v>61.624000000000002</v>
      </c>
      <c r="K310" s="520">
        <v>45</v>
      </c>
      <c r="L310" s="520">
        <v>4947.2053862399998</v>
      </c>
      <c r="M310" s="520">
        <v>660.24900000000002</v>
      </c>
      <c r="N310" s="520"/>
      <c r="O310" s="520">
        <v>101.528340660366</v>
      </c>
      <c r="P310" s="520">
        <v>4861.5291151887204</v>
      </c>
      <c r="Q310" s="520">
        <v>2405.33</v>
      </c>
      <c r="R310" s="520">
        <v>778.73987613828695</v>
      </c>
      <c r="S310" s="520">
        <v>42.321546571883196</v>
      </c>
      <c r="T310" s="520">
        <v>42.069754417278602</v>
      </c>
      <c r="U310" s="520"/>
      <c r="V310" s="520"/>
      <c r="W310" s="520"/>
      <c r="X310" s="520">
        <v>14.210526315789499</v>
      </c>
      <c r="Y310" s="520"/>
      <c r="Z310" s="520">
        <v>374.90339219017</v>
      </c>
      <c r="AA310" s="520">
        <v>173.88831825808501</v>
      </c>
      <c r="AB310" s="925">
        <v>28338.357155980601</v>
      </c>
      <c r="AC310" s="926">
        <v>33.452947959114802</v>
      </c>
      <c r="AD310" s="927">
        <v>123.51845088269036</v>
      </c>
      <c r="AE310" s="927">
        <v>266.62603827383543</v>
      </c>
      <c r="AF310" s="926">
        <v>392.14505691946982</v>
      </c>
      <c r="AH310" s="206">
        <f t="shared" si="41"/>
        <v>32486.121108733198</v>
      </c>
      <c r="AI310" s="445">
        <f t="shared" si="34"/>
        <v>1.9042913634402676</v>
      </c>
      <c r="AJ310" s="445">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4424</v>
      </c>
      <c r="B311">
        <v>2025</v>
      </c>
      <c r="C311" t="s">
        <v>766</v>
      </c>
      <c r="D311" t="s">
        <v>930</v>
      </c>
      <c r="E311" t="s">
        <v>2998</v>
      </c>
      <c r="F311">
        <v>156</v>
      </c>
      <c r="G311" s="520">
        <v>29255.644799999998</v>
      </c>
      <c r="H311" s="520">
        <v>41.523842345817734</v>
      </c>
      <c r="I311" s="520">
        <v>14782.2145</v>
      </c>
      <c r="J311" s="520">
        <v>61.624000000000002</v>
      </c>
      <c r="K311" s="520">
        <v>45</v>
      </c>
      <c r="L311" s="520">
        <v>5944.7470233599997</v>
      </c>
      <c r="M311" s="520">
        <v>798.50699999999995</v>
      </c>
      <c r="N311" s="520"/>
      <c r="O311" s="520">
        <v>101.528340660366</v>
      </c>
      <c r="P311" s="520">
        <v>5522.4138983335097</v>
      </c>
      <c r="Q311" s="520">
        <v>2405.33</v>
      </c>
      <c r="R311" s="520">
        <v>778.73987613828695</v>
      </c>
      <c r="S311" s="520">
        <v>62.977319200216897</v>
      </c>
      <c r="T311" s="520">
        <v>42.069754417278602</v>
      </c>
      <c r="U311" s="520"/>
      <c r="V311" s="520"/>
      <c r="W311" s="520"/>
      <c r="X311" s="520">
        <v>14.210526315789499</v>
      </c>
      <c r="Y311" s="520"/>
      <c r="Z311" s="520">
        <v>455.20615054848003</v>
      </c>
      <c r="AA311" s="520">
        <v>173.88831825808501</v>
      </c>
      <c r="AB311" s="925">
        <v>31188.456707231999</v>
      </c>
      <c r="AC311" s="926">
        <v>28.221963369947055</v>
      </c>
      <c r="AD311" s="927">
        <v>96.314767491445622</v>
      </c>
      <c r="AE311" s="927">
        <v>317.98099107285032</v>
      </c>
      <c r="AF311" s="926">
        <v>459.48406360175954</v>
      </c>
      <c r="AH311" s="206">
        <f t="shared" si="41"/>
        <v>35753.377523220122</v>
      </c>
      <c r="AI311" s="445">
        <f t="shared" si="34"/>
        <v>2.4421501018763214</v>
      </c>
      <c r="AJ311" s="445">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4424</v>
      </c>
      <c r="B312">
        <v>2025</v>
      </c>
      <c r="C312" t="s">
        <v>766</v>
      </c>
      <c r="D312" t="s">
        <v>1475</v>
      </c>
      <c r="E312" t="s">
        <v>2998</v>
      </c>
      <c r="F312">
        <v>121</v>
      </c>
      <c r="G312" s="520">
        <v>22613.737679999998</v>
      </c>
      <c r="H312" s="520">
        <v>39.39025642071195</v>
      </c>
      <c r="I312" s="520">
        <v>12670.94</v>
      </c>
      <c r="J312" s="520">
        <v>61.624000000000002</v>
      </c>
      <c r="K312" s="520">
        <v>45</v>
      </c>
      <c r="L312" s="520">
        <v>4595.1114965759998</v>
      </c>
      <c r="M312" s="520">
        <v>625.23</v>
      </c>
      <c r="N312" s="520"/>
      <c r="O312" s="520">
        <v>101.528340660366</v>
      </c>
      <c r="P312" s="520">
        <v>4861.5291151887204</v>
      </c>
      <c r="Q312" s="520">
        <v>2405.33</v>
      </c>
      <c r="R312" s="520">
        <v>778.73987613828695</v>
      </c>
      <c r="S312" s="520">
        <v>43.341897046685503</v>
      </c>
      <c r="T312" s="520">
        <v>42.069754417278602</v>
      </c>
      <c r="U312" s="520"/>
      <c r="V312" s="520"/>
      <c r="W312" s="520"/>
      <c r="X312" s="520">
        <v>14.210526315789499</v>
      </c>
      <c r="Y312" s="520"/>
      <c r="Z312" s="520">
        <v>333.79094728013303</v>
      </c>
      <c r="AA312" s="520">
        <v>173.88831825808501</v>
      </c>
      <c r="AB312" s="925">
        <v>26752.3342718813</v>
      </c>
      <c r="AC312" s="926">
        <v>35.096530348826299</v>
      </c>
      <c r="AD312" s="927">
        <v>128.18224603084957</v>
      </c>
      <c r="AE312" s="927">
        <v>251.78993929614174</v>
      </c>
      <c r="AF312" s="926">
        <v>372.82866634076527</v>
      </c>
      <c r="AH312" s="206">
        <f t="shared" si="41"/>
        <v>30667.958848639075</v>
      </c>
      <c r="AI312" s="445">
        <f t="shared" si="34"/>
        <v>1.8350054436151713</v>
      </c>
      <c r="AJ312" s="445">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4424</v>
      </c>
      <c r="B313">
        <v>2030</v>
      </c>
      <c r="C313" t="s">
        <v>766</v>
      </c>
      <c r="D313" t="s">
        <v>482</v>
      </c>
      <c r="E313" t="s">
        <v>2998</v>
      </c>
      <c r="F313">
        <v>76</v>
      </c>
      <c r="G313" s="520">
        <v>17619.344639999999</v>
      </c>
      <c r="H313" s="520">
        <v>40.118653034230718</v>
      </c>
      <c r="I313" s="520">
        <v>8040.6837999999998</v>
      </c>
      <c r="J313" s="520">
        <v>61.624000000000002</v>
      </c>
      <c r="K313" s="520">
        <v>30</v>
      </c>
      <c r="L313" s="520">
        <v>3171.4820352000002</v>
      </c>
      <c r="M313" s="520">
        <v>492.51</v>
      </c>
      <c r="N313" s="520"/>
      <c r="O313" s="520">
        <v>96.552441750865398</v>
      </c>
      <c r="P313" s="520">
        <v>5096.4081318005401</v>
      </c>
      <c r="Q313" s="520">
        <v>2393.61</v>
      </c>
      <c r="R313" s="520">
        <v>703.91916933885398</v>
      </c>
      <c r="S313" s="520">
        <v>20.650229049977799</v>
      </c>
      <c r="T313" s="520">
        <v>40.007917852568497</v>
      </c>
      <c r="U313" s="520"/>
      <c r="V313" s="520"/>
      <c r="W313" s="520"/>
      <c r="X313" s="520">
        <v>8.6842105263157894</v>
      </c>
      <c r="Y313" s="520"/>
      <c r="Z313" s="520">
        <v>258.639789793332</v>
      </c>
      <c r="AA313" s="520">
        <v>165.366060457283</v>
      </c>
      <c r="AB313" s="925">
        <v>20580.137785769701</v>
      </c>
      <c r="AC313" s="926">
        <v>42.035282783873761</v>
      </c>
      <c r="AD313" s="927">
        <v>161.41374935211635</v>
      </c>
      <c r="AE313" s="927">
        <v>211.00285608655318</v>
      </c>
      <c r="AF313" s="926">
        <v>310.36286096851967</v>
      </c>
      <c r="AH313" s="206">
        <f t="shared" si="41"/>
        <v>23592.364400765353</v>
      </c>
      <c r="AI313" s="445">
        <f t="shared" si="34"/>
        <v>1.4572186086100858</v>
      </c>
      <c r="AJ313" s="445">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4424</v>
      </c>
      <c r="B314">
        <v>2030</v>
      </c>
      <c r="C314" t="s">
        <v>766</v>
      </c>
      <c r="D314" t="s">
        <v>1473</v>
      </c>
      <c r="E314" t="s">
        <v>2998</v>
      </c>
      <c r="F314">
        <v>80</v>
      </c>
      <c r="G314" s="520">
        <v>18466.133760000001</v>
      </c>
      <c r="H314" s="520">
        <v>41.673706012805027</v>
      </c>
      <c r="I314" s="520">
        <v>10780.334999999999</v>
      </c>
      <c r="J314" s="520">
        <v>61.624000000000002</v>
      </c>
      <c r="K314" s="520">
        <v>30</v>
      </c>
      <c r="L314" s="520">
        <v>3323.9040768</v>
      </c>
      <c r="M314" s="520">
        <v>479.76600000000002</v>
      </c>
      <c r="N314" s="520"/>
      <c r="O314" s="520">
        <v>96.552441750865398</v>
      </c>
      <c r="P314" s="520">
        <v>5096.4081318005401</v>
      </c>
      <c r="Q314" s="520">
        <v>2393.61</v>
      </c>
      <c r="R314" s="520">
        <v>703.91916933885398</v>
      </c>
      <c r="S314" s="520">
        <v>31.604316942175402</v>
      </c>
      <c r="T314" s="520">
        <v>40.007917852568497</v>
      </c>
      <c r="U314" s="520"/>
      <c r="V314" s="520"/>
      <c r="W314" s="520"/>
      <c r="X314" s="520">
        <v>8.6842105263157894</v>
      </c>
      <c r="Y314" s="520"/>
      <c r="Z314" s="520">
        <v>258.639789793332</v>
      </c>
      <c r="AA314" s="520">
        <v>165.366060457283</v>
      </c>
      <c r="AB314" s="925">
        <v>23470.421115261899</v>
      </c>
      <c r="AC314" s="926">
        <v>42.624833069010542</v>
      </c>
      <c r="AD314" s="927">
        <v>168.43137949631858</v>
      </c>
      <c r="AE314" s="927">
        <v>216.78658798755202</v>
      </c>
      <c r="AF314" s="926">
        <v>312.55217038492952</v>
      </c>
      <c r="AH314" s="206">
        <f t="shared" si="41"/>
        <v>26905.686120991482</v>
      </c>
      <c r="AI314" s="445">
        <f t="shared" si="34"/>
        <v>1.3965041427839713</v>
      </c>
      <c r="AJ314" s="445">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4424</v>
      </c>
      <c r="B315">
        <v>2030</v>
      </c>
      <c r="C315" t="s">
        <v>766</v>
      </c>
      <c r="D315" t="s">
        <v>1476</v>
      </c>
      <c r="E315" t="s">
        <v>2998</v>
      </c>
      <c r="F315">
        <v>98</v>
      </c>
      <c r="G315" s="520">
        <v>22642.794000000002</v>
      </c>
      <c r="H315" s="520">
        <v>40.569265955826836</v>
      </c>
      <c r="I315" s="520">
        <v>13893.2291</v>
      </c>
      <c r="J315" s="520">
        <v>61.624000000000002</v>
      </c>
      <c r="K315" s="520">
        <v>30</v>
      </c>
      <c r="L315" s="520">
        <v>4075.7029200000002</v>
      </c>
      <c r="M315" s="520">
        <v>426.45600000000002</v>
      </c>
      <c r="N315" s="520"/>
      <c r="O315" s="520">
        <v>96.552441750865398</v>
      </c>
      <c r="P315" s="520">
        <v>5096.4081318005401</v>
      </c>
      <c r="Q315" s="520">
        <v>2393.61</v>
      </c>
      <c r="R315" s="520">
        <v>703.91916933885398</v>
      </c>
      <c r="S315" s="520">
        <v>41.596445566877399</v>
      </c>
      <c r="T315" s="520">
        <v>40.007917852568497</v>
      </c>
      <c r="U315" s="520"/>
      <c r="V315" s="520"/>
      <c r="W315" s="520"/>
      <c r="X315" s="520">
        <v>9.4736842105263204</v>
      </c>
      <c r="Y315" s="520"/>
      <c r="Z315" s="520">
        <v>356.52939564660898</v>
      </c>
      <c r="AA315" s="520">
        <v>165.366060457283</v>
      </c>
      <c r="AB315" s="925">
        <v>27390.4752666241</v>
      </c>
      <c r="AC315" s="926">
        <v>35.284960218955128</v>
      </c>
      <c r="AD315" s="927">
        <v>132.24907231054317</v>
      </c>
      <c r="AE315" s="927">
        <v>269.65192321287316</v>
      </c>
      <c r="AF315" s="926">
        <v>395.60802622956902</v>
      </c>
      <c r="AH315" s="206">
        <f t="shared" si="41"/>
        <v>31399.501807377139</v>
      </c>
      <c r="AI315" s="445">
        <f t="shared" si="34"/>
        <v>1.778576704788547</v>
      </c>
      <c r="AJ315" s="445">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4424</v>
      </c>
      <c r="B316">
        <v>2030</v>
      </c>
      <c r="C316" t="s">
        <v>766</v>
      </c>
      <c r="D316" t="s">
        <v>930</v>
      </c>
      <c r="E316" t="s">
        <v>2998</v>
      </c>
      <c r="F316">
        <v>119</v>
      </c>
      <c r="G316" s="520">
        <v>27220.50144</v>
      </c>
      <c r="H316" s="520">
        <v>42.436746680361324</v>
      </c>
      <c r="I316" s="520">
        <v>14862.970499999999</v>
      </c>
      <c r="J316" s="520">
        <v>61.624000000000002</v>
      </c>
      <c r="K316" s="520">
        <v>30</v>
      </c>
      <c r="L316" s="520">
        <v>4899.6902591999997</v>
      </c>
      <c r="M316" s="520">
        <v>511.72800000000001</v>
      </c>
      <c r="N316" s="520"/>
      <c r="O316" s="520">
        <v>96.552441750865398</v>
      </c>
      <c r="P316" s="520">
        <v>5883.6387774371897</v>
      </c>
      <c r="Q316" s="520">
        <v>2393.61</v>
      </c>
      <c r="R316" s="520">
        <v>703.91916933885398</v>
      </c>
      <c r="S316" s="520">
        <v>62.1074292814315</v>
      </c>
      <c r="T316" s="520">
        <v>40.007917852568497</v>
      </c>
      <c r="U316" s="520"/>
      <c r="V316" s="520"/>
      <c r="W316" s="520"/>
      <c r="X316" s="520">
        <v>9.4736842105263204</v>
      </c>
      <c r="Y316" s="520"/>
      <c r="Z316" s="520">
        <v>432.89651982488601</v>
      </c>
      <c r="AA316" s="520">
        <v>165.366060457283</v>
      </c>
      <c r="AB316" s="925">
        <v>30153.584759353598</v>
      </c>
      <c r="AC316" s="926">
        <v>30.260524859892605</v>
      </c>
      <c r="AD316" s="927">
        <v>106.95037026737656</v>
      </c>
      <c r="AE316" s="927">
        <v>317.05004693786282</v>
      </c>
      <c r="AF316" s="926">
        <v>457.97105701071519</v>
      </c>
      <c r="AH316" s="206">
        <f t="shared" si="41"/>
        <v>34567.035801088452</v>
      </c>
      <c r="AI316" s="445">
        <f t="shared" si="34"/>
        <v>2.1992922385718625</v>
      </c>
      <c r="AJ316" s="445">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4424</v>
      </c>
      <c r="B317">
        <v>2030</v>
      </c>
      <c r="C317" t="s">
        <v>766</v>
      </c>
      <c r="D317" t="s">
        <v>1475</v>
      </c>
      <c r="E317" t="s">
        <v>2998</v>
      </c>
      <c r="F317">
        <v>92</v>
      </c>
      <c r="G317" s="520">
        <v>21016.350719999999</v>
      </c>
      <c r="H317" s="520">
        <v>40.85122858852867</v>
      </c>
      <c r="I317" s="520">
        <v>12731.26</v>
      </c>
      <c r="J317" s="520">
        <v>61.624000000000002</v>
      </c>
      <c r="K317" s="520">
        <v>30</v>
      </c>
      <c r="L317" s="520">
        <v>3782.9431295999998</v>
      </c>
      <c r="M317" s="520">
        <v>403.09800000000001</v>
      </c>
      <c r="N317" s="520"/>
      <c r="O317" s="520">
        <v>96.552441750865398</v>
      </c>
      <c r="P317" s="520">
        <v>5096.4081318005401</v>
      </c>
      <c r="Q317" s="520">
        <v>2393.61</v>
      </c>
      <c r="R317" s="520">
        <v>703.91916933885398</v>
      </c>
      <c r="S317" s="520">
        <v>43.098253896578697</v>
      </c>
      <c r="T317" s="520">
        <v>40.007917852568497</v>
      </c>
      <c r="U317" s="520"/>
      <c r="V317" s="520"/>
      <c r="W317" s="520"/>
      <c r="X317" s="520">
        <v>9.4736842105263204</v>
      </c>
      <c r="Y317" s="520"/>
      <c r="Z317" s="520">
        <v>317.43186961010201</v>
      </c>
      <c r="AA317" s="520">
        <v>165.366060457283</v>
      </c>
      <c r="AB317" s="925">
        <v>25874.792658517301</v>
      </c>
      <c r="AC317" s="926">
        <v>37.896489247547052</v>
      </c>
      <c r="AD317" s="927">
        <v>143.86203147804829</v>
      </c>
      <c r="AE317" s="927">
        <v>249.70840638718857</v>
      </c>
      <c r="AF317" s="926">
        <v>364.16448808701955</v>
      </c>
      <c r="AH317" s="206">
        <f t="shared" si="41"/>
        <v>29661.975228177871</v>
      </c>
      <c r="AI317" s="445">
        <f t="shared" si="34"/>
        <v>1.6350048503056158</v>
      </c>
      <c r="AJ317" s="445">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4424</v>
      </c>
      <c r="B318">
        <v>2035</v>
      </c>
      <c r="C318" t="s">
        <v>766</v>
      </c>
      <c r="D318" t="s">
        <v>482</v>
      </c>
      <c r="E318" t="s">
        <v>2998</v>
      </c>
      <c r="F318">
        <v>67</v>
      </c>
      <c r="G318" s="520">
        <v>16331.89824</v>
      </c>
      <c r="H318" s="520">
        <v>40.910420320053362</v>
      </c>
      <c r="I318" s="520">
        <v>8040.6837999999998</v>
      </c>
      <c r="J318" s="520">
        <v>61.624000000000002</v>
      </c>
      <c r="K318" s="520">
        <v>25</v>
      </c>
      <c r="L318" s="520">
        <v>2613.1037184000002</v>
      </c>
      <c r="M318" s="520">
        <v>335.03039999999999</v>
      </c>
      <c r="N318" s="520"/>
      <c r="O318" s="520">
        <v>91.820411398622298</v>
      </c>
      <c r="P318" s="520">
        <v>5796.5136592810904</v>
      </c>
      <c r="Q318" s="520">
        <v>2393.61</v>
      </c>
      <c r="R318" s="520">
        <v>636.28717643157097</v>
      </c>
      <c r="S318" s="520">
        <v>22.526463862852999</v>
      </c>
      <c r="T318" s="520">
        <v>38.0471317950092</v>
      </c>
      <c r="U318" s="520"/>
      <c r="V318" s="520"/>
      <c r="W318" s="520"/>
      <c r="X318" s="520">
        <v>7.2368421052631602</v>
      </c>
      <c r="Y318" s="520"/>
      <c r="Z318" s="520">
        <v>245.96386660168599</v>
      </c>
      <c r="AA318" s="520">
        <v>157.26147808603801</v>
      </c>
      <c r="AB318" s="925">
        <v>20464.708947962099</v>
      </c>
      <c r="AC318" s="926">
        <v>48.550791200621845</v>
      </c>
      <c r="AD318" s="927">
        <v>187.12364476261649</v>
      </c>
      <c r="AE318" s="927">
        <v>194.51875474051431</v>
      </c>
      <c r="AF318" s="926">
        <v>281.52074005323652</v>
      </c>
      <c r="AH318" s="206">
        <f t="shared" si="41"/>
        <v>23460.040738394306</v>
      </c>
      <c r="AI318" s="445">
        <f t="shared" si="34"/>
        <v>1.2570037289505562</v>
      </c>
      <c r="AJ318" s="445">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4424</v>
      </c>
      <c r="B319">
        <v>2035</v>
      </c>
      <c r="C319" t="s">
        <v>766</v>
      </c>
      <c r="D319" t="s">
        <v>1473</v>
      </c>
      <c r="E319" t="s">
        <v>2998</v>
      </c>
      <c r="F319">
        <v>70</v>
      </c>
      <c r="G319" s="520">
        <v>17212.2084</v>
      </c>
      <c r="H319" s="520">
        <v>41.161752511097397</v>
      </c>
      <c r="I319" s="520">
        <v>10780.334999999999</v>
      </c>
      <c r="J319" s="520">
        <v>61.624000000000002</v>
      </c>
      <c r="K319" s="520">
        <v>25</v>
      </c>
      <c r="L319" s="520">
        <v>2753.953344</v>
      </c>
      <c r="M319" s="520">
        <v>371.40960000000001</v>
      </c>
      <c r="N319" s="520"/>
      <c r="O319" s="520">
        <v>91.820411398622298</v>
      </c>
      <c r="P319" s="520">
        <v>5796.5136592810904</v>
      </c>
      <c r="Q319" s="520">
        <v>2393.61</v>
      </c>
      <c r="R319" s="520">
        <v>636.28717643157097</v>
      </c>
      <c r="S319" s="520">
        <v>30.4162553085932</v>
      </c>
      <c r="T319" s="520">
        <v>38.0471317950092</v>
      </c>
      <c r="U319" s="520"/>
      <c r="V319" s="520"/>
      <c r="W319" s="520"/>
      <c r="X319" s="520">
        <v>7.2368421052631602</v>
      </c>
      <c r="Y319" s="520"/>
      <c r="Z319" s="520">
        <v>245.96386660168599</v>
      </c>
      <c r="AA319" s="520">
        <v>157.26147808603801</v>
      </c>
      <c r="AB319" s="925">
        <v>23389.478765007902</v>
      </c>
      <c r="AC319" s="926">
        <v>47.80621271261677</v>
      </c>
      <c r="AD319" s="927">
        <v>192.57321055745757</v>
      </c>
      <c r="AE319" s="927">
        <v>201.50129039738977</v>
      </c>
      <c r="AF319" s="926">
        <v>291.72525882395598</v>
      </c>
      <c r="AH319" s="206">
        <f t="shared" si="41"/>
        <v>26812.896585638271</v>
      </c>
      <c r="AI319" s="445">
        <f t="shared" si="34"/>
        <v>1.2214321948547855</v>
      </c>
      <c r="AJ319" s="445">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4424</v>
      </c>
      <c r="B320">
        <v>2035</v>
      </c>
      <c r="C320" t="s">
        <v>766</v>
      </c>
      <c r="D320" t="s">
        <v>1476</v>
      </c>
      <c r="E320" t="s">
        <v>2998</v>
      </c>
      <c r="F320">
        <v>86</v>
      </c>
      <c r="G320" s="520">
        <v>20952.00432</v>
      </c>
      <c r="H320" s="520">
        <v>40.59295521620578</v>
      </c>
      <c r="I320" s="520">
        <v>13893.2291</v>
      </c>
      <c r="J320" s="520">
        <v>61.624000000000002</v>
      </c>
      <c r="K320" s="520">
        <v>25</v>
      </c>
      <c r="L320" s="520">
        <v>3352.3206912000001</v>
      </c>
      <c r="M320" s="520">
        <v>330.47039999999998</v>
      </c>
      <c r="N320" s="520"/>
      <c r="O320" s="520">
        <v>91.820411398622298</v>
      </c>
      <c r="P320" s="520">
        <v>5796.5136592810904</v>
      </c>
      <c r="Q320" s="520">
        <v>2393.61</v>
      </c>
      <c r="R320" s="520">
        <v>636.28717643157097</v>
      </c>
      <c r="S320" s="520">
        <v>39.329015759446698</v>
      </c>
      <c r="T320" s="520">
        <v>38.0471317950092</v>
      </c>
      <c r="U320" s="520"/>
      <c r="V320" s="520"/>
      <c r="W320" s="520"/>
      <c r="X320" s="520">
        <v>7.8947368421052602</v>
      </c>
      <c r="Y320" s="520"/>
      <c r="Z320" s="520">
        <v>339.05590775678502</v>
      </c>
      <c r="AA320" s="520">
        <v>157.26147808603801</v>
      </c>
      <c r="AB320" s="925">
        <v>27162.463708550698</v>
      </c>
      <c r="AC320" s="926">
        <v>40.188412840257115</v>
      </c>
      <c r="AD320" s="927">
        <v>153.09167366492446</v>
      </c>
      <c r="AE320" s="927">
        <v>248.91300962739203</v>
      </c>
      <c r="AF320" s="926">
        <v>365.43649064446669</v>
      </c>
      <c r="AH320" s="206">
        <f t="shared" si="41"/>
        <v>31138.11717421042</v>
      </c>
      <c r="AI320" s="445">
        <f t="shared" si="34"/>
        <v>1.536433129317335</v>
      </c>
      <c r="AJ320" s="445">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4424</v>
      </c>
      <c r="B321">
        <v>2035</v>
      </c>
      <c r="C321" t="s">
        <v>766</v>
      </c>
      <c r="D321" t="s">
        <v>930</v>
      </c>
      <c r="E321" t="s">
        <v>2998</v>
      </c>
      <c r="F321">
        <v>103</v>
      </c>
      <c r="G321" s="520">
        <v>25150.21488</v>
      </c>
      <c r="H321" s="520">
        <v>41.92050119184848</v>
      </c>
      <c r="I321" s="520">
        <v>14862.970499999999</v>
      </c>
      <c r="J321" s="520">
        <v>61.624000000000002</v>
      </c>
      <c r="K321" s="520">
        <v>25</v>
      </c>
      <c r="L321" s="520">
        <v>4024.0343807999998</v>
      </c>
      <c r="M321" s="520">
        <v>396.50880000000001</v>
      </c>
      <c r="N321" s="520"/>
      <c r="O321" s="520">
        <v>91.820411398622298</v>
      </c>
      <c r="P321" s="520">
        <v>6915.4971970985298</v>
      </c>
      <c r="Q321" s="520">
        <v>2393.61</v>
      </c>
      <c r="R321" s="520">
        <v>636.28717643157097</v>
      </c>
      <c r="S321" s="520">
        <v>58.737001421689897</v>
      </c>
      <c r="T321" s="520">
        <v>38.0471317950092</v>
      </c>
      <c r="U321" s="520"/>
      <c r="V321" s="520"/>
      <c r="W321" s="520"/>
      <c r="X321" s="520">
        <v>7.8947368421052602</v>
      </c>
      <c r="Y321" s="520"/>
      <c r="Z321" s="520">
        <v>411.68028298980403</v>
      </c>
      <c r="AA321" s="520">
        <v>157.26147808603801</v>
      </c>
      <c r="AB321" s="925">
        <v>30080.973096863399</v>
      </c>
      <c r="AC321" s="926">
        <v>34.526341176834876</v>
      </c>
      <c r="AD321" s="927">
        <v>124.21734819058939</v>
      </c>
      <c r="AE321" s="927">
        <v>292.15628842445267</v>
      </c>
      <c r="AF321" s="926">
        <v>427.09153034066048</v>
      </c>
      <c r="AH321" s="206">
        <f t="shared" si="41"/>
        <v>34483.796280583461</v>
      </c>
      <c r="AI321" s="445">
        <f t="shared" si="34"/>
        <v>1.8935770459415415</v>
      </c>
      <c r="AJ321" s="445">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4424</v>
      </c>
      <c r="B322">
        <v>2035</v>
      </c>
      <c r="C322" t="s">
        <v>766</v>
      </c>
      <c r="D322" t="s">
        <v>1475</v>
      </c>
      <c r="E322" t="s">
        <v>2998</v>
      </c>
      <c r="F322">
        <v>80</v>
      </c>
      <c r="G322" s="520">
        <v>19548.883440000001</v>
      </c>
      <c r="H322" s="520">
        <v>41.191348316726568</v>
      </c>
      <c r="I322" s="520">
        <v>12731.26</v>
      </c>
      <c r="J322" s="520">
        <v>61.624000000000002</v>
      </c>
      <c r="K322" s="520">
        <v>25</v>
      </c>
      <c r="L322" s="520">
        <v>3127.8213504</v>
      </c>
      <c r="M322" s="520">
        <v>404.81279999999998</v>
      </c>
      <c r="N322" s="520"/>
      <c r="O322" s="520">
        <v>91.820411398622298</v>
      </c>
      <c r="P322" s="520">
        <v>5796.5136592810904</v>
      </c>
      <c r="Q322" s="520">
        <v>2393.61</v>
      </c>
      <c r="R322" s="520">
        <v>636.28717643157097</v>
      </c>
      <c r="S322" s="520">
        <v>31.033641888771701</v>
      </c>
      <c r="T322" s="520">
        <v>38.0471317950092</v>
      </c>
      <c r="U322" s="520"/>
      <c r="V322" s="520"/>
      <c r="W322" s="520"/>
      <c r="X322" s="520">
        <v>7.8947368421052602</v>
      </c>
      <c r="Y322" s="520"/>
      <c r="Z322" s="520">
        <v>301.87454952036097</v>
      </c>
      <c r="AA322" s="520">
        <v>157.26147808603801</v>
      </c>
      <c r="AB322" s="925">
        <v>25804.860935643599</v>
      </c>
      <c r="AC322" s="926">
        <v>42.236309053887176</v>
      </c>
      <c r="AD322" s="927">
        <v>164.71598141919392</v>
      </c>
      <c r="AE322" s="927">
        <v>230.95686460895087</v>
      </c>
      <c r="AF322" s="926">
        <v>331.82997649322971</v>
      </c>
      <c r="AH322" s="206">
        <f t="shared" si="41"/>
        <v>29581.80789857182</v>
      </c>
      <c r="AI322" s="445">
        <f t="shared" si="34"/>
        <v>1.4280042362302261</v>
      </c>
      <c r="AJ322" s="445">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4424</v>
      </c>
      <c r="B323">
        <v>2050</v>
      </c>
      <c r="C323" t="s">
        <v>766</v>
      </c>
      <c r="D323" t="s">
        <v>482</v>
      </c>
      <c r="E323" t="s">
        <v>2998</v>
      </c>
      <c r="F323">
        <v>53</v>
      </c>
      <c r="G323" s="520">
        <v>14161.858560000001</v>
      </c>
      <c r="H323" s="520">
        <v>41.609794761494513</v>
      </c>
      <c r="I323" s="520">
        <v>8067.6769999999997</v>
      </c>
      <c r="J323" s="520">
        <v>61.624000000000002</v>
      </c>
      <c r="K323" s="520">
        <v>13.33</v>
      </c>
      <c r="L323" s="520">
        <v>2039.3076326400001</v>
      </c>
      <c r="M323" s="520">
        <v>149.76900000000001</v>
      </c>
      <c r="N323" s="520"/>
      <c r="O323" s="520">
        <v>78.970911949985293</v>
      </c>
      <c r="P323" s="520">
        <v>5796.5136592810904</v>
      </c>
      <c r="Q323" s="520">
        <v>2393.61</v>
      </c>
      <c r="R323" s="520">
        <v>469.94204892184302</v>
      </c>
      <c r="S323" s="520">
        <v>19.468882170449898</v>
      </c>
      <c r="T323" s="520">
        <v>32.722753570435898</v>
      </c>
      <c r="U323" s="520"/>
      <c r="V323" s="520"/>
      <c r="W323" s="520"/>
      <c r="X323" s="520">
        <v>3.8586842105263202</v>
      </c>
      <c r="Y323" s="520"/>
      <c r="Z323" s="520">
        <v>211.543278410656</v>
      </c>
      <c r="AA323" s="520">
        <v>135.25404809113499</v>
      </c>
      <c r="AB323" s="925">
        <v>19473.591899246101</v>
      </c>
      <c r="AC323" s="926">
        <v>55.222622516274853</v>
      </c>
      <c r="AD323" s="927">
        <v>234.37735946850714</v>
      </c>
      <c r="AE323" s="927">
        <v>177.12327625457146</v>
      </c>
      <c r="AF323" s="926">
        <v>260.26362104663724</v>
      </c>
      <c r="AH323" s="206">
        <f t="shared" si="41"/>
        <v>22323.858132596248</v>
      </c>
      <c r="AI323" s="445">
        <f t="shared" si="34"/>
        <v>1.0035744057140195</v>
      </c>
      <c r="AJ323" s="445">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4424</v>
      </c>
      <c r="B324">
        <v>2050</v>
      </c>
      <c r="C324" t="s">
        <v>766</v>
      </c>
      <c r="D324" t="s">
        <v>1473</v>
      </c>
      <c r="E324" t="s">
        <v>2998</v>
      </c>
      <c r="F324">
        <v>56</v>
      </c>
      <c r="G324" s="520">
        <v>14928.105600000001</v>
      </c>
      <c r="H324" s="520">
        <v>41.313582283138111</v>
      </c>
      <c r="I324" s="520">
        <v>10812.525</v>
      </c>
      <c r="J324" s="520">
        <v>61.624000000000002</v>
      </c>
      <c r="K324" s="520">
        <v>13.33</v>
      </c>
      <c r="L324" s="520">
        <v>2149.6472064</v>
      </c>
      <c r="M324" s="520">
        <v>165.68774999999999</v>
      </c>
      <c r="N324" s="520"/>
      <c r="O324" s="520">
        <v>78.970911949985293</v>
      </c>
      <c r="P324" s="520">
        <v>5796.5136592810904</v>
      </c>
      <c r="Q324" s="520">
        <v>2393.61</v>
      </c>
      <c r="R324" s="520">
        <v>469.94204892184302</v>
      </c>
      <c r="S324" s="520">
        <v>27.066102051728901</v>
      </c>
      <c r="T324" s="520">
        <v>32.722753570435898</v>
      </c>
      <c r="U324" s="520"/>
      <c r="V324" s="520"/>
      <c r="W324" s="520"/>
      <c r="X324" s="520">
        <v>3.8586842105263202</v>
      </c>
      <c r="Y324" s="520"/>
      <c r="Z324" s="520">
        <v>211.543278410656</v>
      </c>
      <c r="AA324" s="520">
        <v>135.25404809113499</v>
      </c>
      <c r="AB324" s="925">
        <v>22352.2954428874</v>
      </c>
      <c r="AC324" s="926">
        <v>53.192492771067023</v>
      </c>
      <c r="AD324" s="927">
        <v>221.17011891547619</v>
      </c>
      <c r="AE324" s="927">
        <v>187.70235977534173</v>
      </c>
      <c r="AF324" s="926">
        <v>273.0279925543324</v>
      </c>
      <c r="AH324" s="206">
        <f t="shared" si="41"/>
        <v>25623.905183317194</v>
      </c>
      <c r="AI324" s="445">
        <f t="shared" si="34"/>
        <v>1.0635031549235612</v>
      </c>
      <c r="AJ324" s="445">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4424</v>
      </c>
      <c r="B325">
        <v>2050</v>
      </c>
      <c r="C325" t="s">
        <v>766</v>
      </c>
      <c r="D325" t="s">
        <v>1476</v>
      </c>
      <c r="E325" t="s">
        <v>2998</v>
      </c>
      <c r="F325">
        <v>68</v>
      </c>
      <c r="G325" s="520">
        <v>18051.86304</v>
      </c>
      <c r="H325" s="520">
        <v>41.808617305498615</v>
      </c>
      <c r="I325" s="520">
        <v>13928.6265</v>
      </c>
      <c r="J325" s="520">
        <v>61.624000000000002</v>
      </c>
      <c r="K325" s="520">
        <v>13.33</v>
      </c>
      <c r="L325" s="520">
        <v>2599.4682777600001</v>
      </c>
      <c r="M325" s="520">
        <v>192.36375000000001</v>
      </c>
      <c r="N325" s="520"/>
      <c r="O325" s="520">
        <v>78.970911949985293</v>
      </c>
      <c r="P325" s="520">
        <v>5796.5136592810904</v>
      </c>
      <c r="Q325" s="520">
        <v>2393.61</v>
      </c>
      <c r="R325" s="520">
        <v>469.94204892184302</v>
      </c>
      <c r="S325" s="520">
        <v>27.803403863454999</v>
      </c>
      <c r="T325" s="520">
        <v>32.722753570435898</v>
      </c>
      <c r="U325" s="520"/>
      <c r="V325" s="520"/>
      <c r="W325" s="520"/>
      <c r="X325" s="520">
        <v>4.20947368421053</v>
      </c>
      <c r="Y325" s="520"/>
      <c r="Z325" s="520">
        <v>291.60786615670901</v>
      </c>
      <c r="AA325" s="520">
        <v>135.25404809113499</v>
      </c>
      <c r="AB325" s="925">
        <v>26026.046693278899</v>
      </c>
      <c r="AC325" s="926">
        <v>45.539111274101501</v>
      </c>
      <c r="AD325" s="927">
        <v>184.12087786035926</v>
      </c>
      <c r="AE325" s="927">
        <v>225.42580898883887</v>
      </c>
      <c r="AF325" s="926">
        <v>330.89879123205236</v>
      </c>
      <c r="AH325" s="206">
        <f t="shared" si="41"/>
        <v>29835.367668127863</v>
      </c>
      <c r="AI325" s="445">
        <f t="shared" si="34"/>
        <v>1.2775037897647854</v>
      </c>
      <c r="AJ325" s="445">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4424</v>
      </c>
      <c r="B326">
        <v>2050</v>
      </c>
      <c r="C326" t="s">
        <v>766</v>
      </c>
      <c r="D326" t="s">
        <v>930</v>
      </c>
      <c r="E326" t="s">
        <v>2998</v>
      </c>
      <c r="F326">
        <v>81</v>
      </c>
      <c r="G326" s="520">
        <v>21571.479360000001</v>
      </c>
      <c r="H326" s="520">
        <v>42.994701403589232</v>
      </c>
      <c r="I326" s="520">
        <v>14908.0075</v>
      </c>
      <c r="J326" s="520">
        <v>61.624000000000002</v>
      </c>
      <c r="K326" s="520">
        <v>13.33</v>
      </c>
      <c r="L326" s="520">
        <v>3106.2930278399999</v>
      </c>
      <c r="M326" s="520">
        <v>178.15275</v>
      </c>
      <c r="N326" s="520"/>
      <c r="O326" s="520">
        <v>78.970911949985293</v>
      </c>
      <c r="P326" s="520">
        <v>6915.4971970985298</v>
      </c>
      <c r="Q326" s="520">
        <v>2393.61</v>
      </c>
      <c r="R326" s="520">
        <v>469.94204892184302</v>
      </c>
      <c r="S326" s="520">
        <v>52.1111086802104</v>
      </c>
      <c r="T326" s="520">
        <v>32.722753570435898</v>
      </c>
      <c r="U326" s="520"/>
      <c r="V326" s="520"/>
      <c r="W326" s="520"/>
      <c r="X326" s="520">
        <v>4.20947368421053</v>
      </c>
      <c r="Y326" s="520"/>
      <c r="Z326" s="520">
        <v>354.06906682647099</v>
      </c>
      <c r="AA326" s="520">
        <v>135.25404809113499</v>
      </c>
      <c r="AB326" s="925">
        <v>28703.793886662799</v>
      </c>
      <c r="AC326" s="926">
        <v>38.808843692022705</v>
      </c>
      <c r="AD326" s="927">
        <v>142.43087805071477</v>
      </c>
      <c r="AE326" s="927">
        <v>269.34928603535548</v>
      </c>
      <c r="AF326" s="926">
        <v>384.83180455140172</v>
      </c>
      <c r="AH326" s="206">
        <f t="shared" si="41"/>
        <v>32905.045248378177</v>
      </c>
      <c r="AI326" s="445">
        <f t="shared" si="34"/>
        <v>1.6514334704703293</v>
      </c>
      <c r="AJ326" s="445">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4424</v>
      </c>
      <c r="B327" s="68">
        <v>2050</v>
      </c>
      <c r="C327" s="68" t="s">
        <v>766</v>
      </c>
      <c r="D327" s="68" t="s">
        <v>1475</v>
      </c>
      <c r="E327" s="68" t="s">
        <v>2998</v>
      </c>
      <c r="F327" s="68">
        <v>63</v>
      </c>
      <c r="G327" s="928">
        <v>16880.918399999999</v>
      </c>
      <c r="H327" s="928">
        <v>40.876807927790033</v>
      </c>
      <c r="I327" s="928">
        <v>12764.9</v>
      </c>
      <c r="J327" s="928">
        <v>61.624000000000002</v>
      </c>
      <c r="K327" s="928">
        <v>13.33</v>
      </c>
      <c r="L327" s="928">
        <v>2430.8522496000001</v>
      </c>
      <c r="M327" s="928">
        <v>181.07775000000001</v>
      </c>
      <c r="N327" s="928"/>
      <c r="O327" s="928">
        <v>78.970911949985293</v>
      </c>
      <c r="P327" s="928">
        <v>5796.5136592810904</v>
      </c>
      <c r="Q327" s="928">
        <v>2393.61</v>
      </c>
      <c r="R327" s="928">
        <v>469.94204892184302</v>
      </c>
      <c r="S327" s="928">
        <v>27.5508787382904</v>
      </c>
      <c r="T327" s="928">
        <v>32.722753570435898</v>
      </c>
      <c r="U327" s="928"/>
      <c r="V327" s="928"/>
      <c r="W327" s="928"/>
      <c r="X327" s="928">
        <v>4.20947368421053</v>
      </c>
      <c r="Y327" s="928"/>
      <c r="Z327" s="928">
        <v>259.62972836856198</v>
      </c>
      <c r="AA327" s="928">
        <v>135.25404809113499</v>
      </c>
      <c r="AB327" s="929">
        <v>24650.187502205601</v>
      </c>
      <c r="AC327" s="930">
        <v>47.291617796352362</v>
      </c>
      <c r="AD327" s="931">
        <v>189.8640394679731</v>
      </c>
      <c r="AE327" s="931">
        <v>213.87911047903089</v>
      </c>
      <c r="AF327" s="930">
        <v>312.86861767981861</v>
      </c>
      <c r="AG327" s="932"/>
      <c r="AH327" s="418">
        <f t="shared" si="41"/>
        <v>28258.129860595396</v>
      </c>
      <c r="AI327" s="465">
        <f t="shared" si="34"/>
        <v>1.2388608179860463</v>
      </c>
      <c r="AJ327" s="465">
        <f t="shared" si="42"/>
        <v>0.41586339841238606</v>
      </c>
      <c r="AK327" s="427">
        <f t="shared" si="36"/>
        <v>13.289864819058177</v>
      </c>
      <c r="AL327" s="427">
        <f t="shared" si="43"/>
        <v>0.4784351334860944</v>
      </c>
      <c r="AM327" s="427">
        <f t="shared" si="44"/>
        <v>0.89429853189848041</v>
      </c>
      <c r="AN327" s="852">
        <f t="shared" si="45"/>
        <v>0.46501630448790038</v>
      </c>
      <c r="AO327" s="852">
        <f t="shared" si="46"/>
        <v>0.53498369551209968</v>
      </c>
    </row>
    <row r="328" spans="1:41" x14ac:dyDescent="0.25">
      <c r="A328" t="s">
        <v>883</v>
      </c>
      <c r="B328">
        <v>2020</v>
      </c>
      <c r="C328" t="s">
        <v>766</v>
      </c>
      <c r="D328" t="s">
        <v>482</v>
      </c>
      <c r="E328" t="s">
        <v>2998</v>
      </c>
      <c r="G328" s="520">
        <v>44631.216</v>
      </c>
      <c r="H328" s="520">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884</v>
      </c>
      <c r="B329">
        <v>2020</v>
      </c>
      <c r="C329" t="s">
        <v>766</v>
      </c>
      <c r="D329" t="s">
        <v>482</v>
      </c>
      <c r="E329" t="s">
        <v>2998</v>
      </c>
      <c r="G329" s="520">
        <v>70480.653099999996</v>
      </c>
      <c r="H329" s="520">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885</v>
      </c>
      <c r="B330">
        <v>2020</v>
      </c>
      <c r="C330" t="s">
        <v>766</v>
      </c>
      <c r="D330" t="s">
        <v>482</v>
      </c>
      <c r="E330" t="s">
        <v>2998</v>
      </c>
      <c r="G330" s="520">
        <v>104692.48269999999</v>
      </c>
      <c r="H330" s="520">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886</v>
      </c>
      <c r="B331">
        <v>2020</v>
      </c>
      <c r="C331" t="s">
        <v>766</v>
      </c>
      <c r="D331" t="s">
        <v>482</v>
      </c>
      <c r="E331" t="s">
        <v>2998</v>
      </c>
      <c r="G331" s="520">
        <v>146278.90220000001</v>
      </c>
      <c r="H331" s="520">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887</v>
      </c>
      <c r="B332">
        <v>2020</v>
      </c>
      <c r="C332" t="s">
        <v>766</v>
      </c>
      <c r="D332" t="s">
        <v>482</v>
      </c>
      <c r="E332" t="s">
        <v>2998</v>
      </c>
      <c r="G332" s="520"/>
      <c r="H332" s="520"/>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889</v>
      </c>
      <c r="B333">
        <v>2020</v>
      </c>
      <c r="C333" t="s">
        <v>766</v>
      </c>
      <c r="D333" t="s">
        <v>482</v>
      </c>
      <c r="E333" t="s">
        <v>2998</v>
      </c>
      <c r="G333" s="520"/>
      <c r="H333" s="520"/>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890</v>
      </c>
      <c r="B334">
        <v>2020</v>
      </c>
      <c r="C334" t="s">
        <v>766</v>
      </c>
      <c r="D334" t="s">
        <v>482</v>
      </c>
      <c r="E334" t="s">
        <v>2998</v>
      </c>
      <c r="G334" s="520"/>
      <c r="H334" s="520"/>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891</v>
      </c>
      <c r="B335">
        <v>2020</v>
      </c>
      <c r="C335" t="s">
        <v>766</v>
      </c>
      <c r="D335" t="s">
        <v>482</v>
      </c>
      <c r="E335" t="s">
        <v>2998</v>
      </c>
      <c r="G335" s="520">
        <v>17636.486400000002</v>
      </c>
      <c r="H335" s="520">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3046</v>
      </c>
      <c r="B336">
        <v>2020</v>
      </c>
      <c r="C336" t="s">
        <v>766</v>
      </c>
      <c r="D336" t="s">
        <v>482</v>
      </c>
      <c r="E336" t="s">
        <v>2998</v>
      </c>
      <c r="G336" s="520">
        <v>1263.5999999999999</v>
      </c>
      <c r="H336" s="520"/>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3001</v>
      </c>
      <c r="B337">
        <v>2020</v>
      </c>
      <c r="C337" t="s">
        <v>766</v>
      </c>
      <c r="D337" t="s">
        <v>482</v>
      </c>
      <c r="E337" t="s">
        <v>2998</v>
      </c>
      <c r="G337" s="520">
        <v>1263.5999999999999</v>
      </c>
      <c r="H337" s="520"/>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896</v>
      </c>
      <c r="B338">
        <v>2020</v>
      </c>
      <c r="C338" t="s">
        <v>766</v>
      </c>
      <c r="D338" t="s">
        <v>482</v>
      </c>
      <c r="E338" t="s">
        <v>2998</v>
      </c>
      <c r="G338" s="520">
        <v>7678.8432000000003</v>
      </c>
      <c r="H338" s="520">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883</v>
      </c>
      <c r="B339">
        <v>2020</v>
      </c>
      <c r="C339" t="s">
        <v>766</v>
      </c>
      <c r="D339" t="s">
        <v>1473</v>
      </c>
      <c r="E339" t="s">
        <v>2998</v>
      </c>
      <c r="G339" s="520">
        <v>46642.236499999999</v>
      </c>
      <c r="H339" s="520">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884</v>
      </c>
      <c r="B340">
        <v>2020</v>
      </c>
      <c r="C340" t="s">
        <v>766</v>
      </c>
      <c r="D340" t="s">
        <v>1473</v>
      </c>
      <c r="E340" t="s">
        <v>2998</v>
      </c>
      <c r="G340" s="520">
        <v>72712.371599999999</v>
      </c>
      <c r="H340" s="520">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885</v>
      </c>
      <c r="B341">
        <v>2020</v>
      </c>
      <c r="C341" t="s">
        <v>766</v>
      </c>
      <c r="D341" t="s">
        <v>1473</v>
      </c>
      <c r="E341" t="s">
        <v>2998</v>
      </c>
      <c r="G341" s="520">
        <v>109874.7504</v>
      </c>
      <c r="H341" s="520">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886</v>
      </c>
      <c r="B342">
        <v>2020</v>
      </c>
      <c r="C342" t="s">
        <v>766</v>
      </c>
      <c r="D342" t="s">
        <v>1473</v>
      </c>
      <c r="E342" t="s">
        <v>2998</v>
      </c>
      <c r="G342" s="520">
        <v>154336.88159999999</v>
      </c>
      <c r="H342" s="520">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887</v>
      </c>
      <c r="B343">
        <v>2020</v>
      </c>
      <c r="C343" t="s">
        <v>766</v>
      </c>
      <c r="D343" t="s">
        <v>1473</v>
      </c>
      <c r="E343" t="s">
        <v>2998</v>
      </c>
      <c r="G343" s="520"/>
      <c r="H343" s="520"/>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889</v>
      </c>
      <c r="B344">
        <v>2020</v>
      </c>
      <c r="C344" t="s">
        <v>766</v>
      </c>
      <c r="D344" t="s">
        <v>1473</v>
      </c>
      <c r="E344" t="s">
        <v>2998</v>
      </c>
      <c r="G344" s="520"/>
      <c r="H344" s="520"/>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890</v>
      </c>
      <c r="B345">
        <v>2020</v>
      </c>
      <c r="C345" t="s">
        <v>766</v>
      </c>
      <c r="D345" t="s">
        <v>1473</v>
      </c>
      <c r="E345" t="s">
        <v>2998</v>
      </c>
      <c r="G345" s="520"/>
      <c r="H345" s="520"/>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891</v>
      </c>
      <c r="B346">
        <v>2020</v>
      </c>
      <c r="C346" t="s">
        <v>766</v>
      </c>
      <c r="D346" t="s">
        <v>1473</v>
      </c>
      <c r="E346" t="s">
        <v>2998</v>
      </c>
      <c r="G346" s="520">
        <v>18619.009900000001</v>
      </c>
      <c r="H346" s="520">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3046</v>
      </c>
      <c r="B347">
        <v>2020</v>
      </c>
      <c r="C347" t="s">
        <v>766</v>
      </c>
      <c r="D347" t="s">
        <v>1473</v>
      </c>
      <c r="E347" t="s">
        <v>2998</v>
      </c>
      <c r="G347" s="520">
        <v>1544.4</v>
      </c>
      <c r="H347" s="520"/>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3001</v>
      </c>
      <c r="B348">
        <v>2020</v>
      </c>
      <c r="C348" t="s">
        <v>766</v>
      </c>
      <c r="D348" t="s">
        <v>1473</v>
      </c>
      <c r="E348" t="s">
        <v>2998</v>
      </c>
      <c r="G348" s="520">
        <v>1684.8</v>
      </c>
      <c r="H348" s="520"/>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896</v>
      </c>
      <c r="B349">
        <v>2020</v>
      </c>
      <c r="C349" t="s">
        <v>766</v>
      </c>
      <c r="D349" t="s">
        <v>1473</v>
      </c>
      <c r="E349" t="s">
        <v>2998</v>
      </c>
      <c r="G349" s="520">
        <v>8169.6383999999998</v>
      </c>
      <c r="H349" s="520">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883</v>
      </c>
      <c r="B350">
        <v>2020</v>
      </c>
      <c r="C350" t="s">
        <v>766</v>
      </c>
      <c r="D350" t="s">
        <v>1476</v>
      </c>
      <c r="E350" t="s">
        <v>2998</v>
      </c>
      <c r="G350" s="520">
        <v>62123.2114</v>
      </c>
      <c r="H350" s="520">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884</v>
      </c>
      <c r="B351">
        <v>2020</v>
      </c>
      <c r="C351" t="s">
        <v>766</v>
      </c>
      <c r="D351" t="s">
        <v>1476</v>
      </c>
      <c r="E351" t="s">
        <v>2998</v>
      </c>
      <c r="G351" s="520">
        <v>97217.82</v>
      </c>
      <c r="H351" s="520">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885</v>
      </c>
      <c r="B352">
        <v>2020</v>
      </c>
      <c r="C352" t="s">
        <v>766</v>
      </c>
      <c r="D352" t="s">
        <v>1476</v>
      </c>
      <c r="E352" t="s">
        <v>2998</v>
      </c>
      <c r="G352" s="520">
        <v>145991.7389</v>
      </c>
      <c r="H352" s="520">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886</v>
      </c>
      <c r="B353">
        <v>2020</v>
      </c>
      <c r="C353" t="s">
        <v>766</v>
      </c>
      <c r="D353" t="s">
        <v>1476</v>
      </c>
      <c r="E353" t="s">
        <v>2998</v>
      </c>
      <c r="G353" s="520">
        <v>203879.43</v>
      </c>
      <c r="H353" s="520">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887</v>
      </c>
      <c r="B354">
        <v>2020</v>
      </c>
      <c r="C354" t="s">
        <v>766</v>
      </c>
      <c r="D354" t="s">
        <v>1476</v>
      </c>
      <c r="E354" t="s">
        <v>2998</v>
      </c>
      <c r="G354" s="520"/>
      <c r="H354" s="520"/>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889</v>
      </c>
      <c r="B355">
        <v>2020</v>
      </c>
      <c r="C355" t="s">
        <v>766</v>
      </c>
      <c r="D355" t="s">
        <v>1476</v>
      </c>
      <c r="E355" t="s">
        <v>2998</v>
      </c>
      <c r="G355" s="520"/>
      <c r="H355" s="520"/>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890</v>
      </c>
      <c r="B356">
        <v>2020</v>
      </c>
      <c r="C356" t="s">
        <v>766</v>
      </c>
      <c r="D356" t="s">
        <v>1476</v>
      </c>
      <c r="E356" t="s">
        <v>2998</v>
      </c>
      <c r="G356" s="520"/>
      <c r="H356" s="520"/>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891</v>
      </c>
      <c r="B357">
        <v>2020</v>
      </c>
      <c r="C357" t="s">
        <v>766</v>
      </c>
      <c r="D357" t="s">
        <v>1476</v>
      </c>
      <c r="E357" t="s">
        <v>2998</v>
      </c>
      <c r="G357" s="520">
        <v>24266.582600000002</v>
      </c>
      <c r="H357" s="520">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3046</v>
      </c>
      <c r="B358">
        <v>2020</v>
      </c>
      <c r="C358" t="s">
        <v>766</v>
      </c>
      <c r="D358" t="s">
        <v>1476</v>
      </c>
      <c r="E358" t="s">
        <v>2998</v>
      </c>
      <c r="G358" s="520">
        <v>1684.8</v>
      </c>
      <c r="H358" s="520"/>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3001</v>
      </c>
      <c r="B359">
        <v>2020</v>
      </c>
      <c r="C359" t="s">
        <v>766</v>
      </c>
      <c r="D359" t="s">
        <v>1476</v>
      </c>
      <c r="E359" t="s">
        <v>2998</v>
      </c>
      <c r="G359" s="520">
        <v>1965.6</v>
      </c>
      <c r="H359" s="520"/>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896</v>
      </c>
      <c r="B360">
        <v>2020</v>
      </c>
      <c r="C360" t="s">
        <v>766</v>
      </c>
      <c r="D360" t="s">
        <v>1476</v>
      </c>
      <c r="E360" t="s">
        <v>2998</v>
      </c>
      <c r="G360" s="520">
        <v>10817.9064</v>
      </c>
      <c r="H360" s="520">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883</v>
      </c>
      <c r="B361">
        <v>2020</v>
      </c>
      <c r="C361" t="s">
        <v>766</v>
      </c>
      <c r="D361" t="s">
        <v>930</v>
      </c>
      <c r="E361" t="s">
        <v>2998</v>
      </c>
      <c r="G361" s="520">
        <v>75263.903999999995</v>
      </c>
      <c r="H361" s="520">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884</v>
      </c>
      <c r="B362">
        <v>2020</v>
      </c>
      <c r="C362" t="s">
        <v>766</v>
      </c>
      <c r="D362" t="s">
        <v>930</v>
      </c>
      <c r="E362" t="s">
        <v>2998</v>
      </c>
      <c r="G362" s="520">
        <v>117717.6888</v>
      </c>
      <c r="H362" s="520">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885</v>
      </c>
      <c r="B363">
        <v>2020</v>
      </c>
      <c r="C363" t="s">
        <v>766</v>
      </c>
      <c r="D363" t="s">
        <v>930</v>
      </c>
      <c r="E363" t="s">
        <v>2998</v>
      </c>
      <c r="G363" s="520">
        <v>177031.6949</v>
      </c>
      <c r="H363" s="520">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886</v>
      </c>
      <c r="B364">
        <v>2020</v>
      </c>
      <c r="C364" t="s">
        <v>766</v>
      </c>
      <c r="D364" t="s">
        <v>930</v>
      </c>
      <c r="E364" t="s">
        <v>2998</v>
      </c>
      <c r="G364" s="520">
        <v>247807.42559999999</v>
      </c>
      <c r="H364" s="520">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887</v>
      </c>
      <c r="B365">
        <v>2020</v>
      </c>
      <c r="C365" t="s">
        <v>766</v>
      </c>
      <c r="D365" t="s">
        <v>930</v>
      </c>
      <c r="E365" t="s">
        <v>2998</v>
      </c>
      <c r="G365" s="520"/>
      <c r="H365" s="520"/>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889</v>
      </c>
      <c r="B366">
        <v>2020</v>
      </c>
      <c r="C366" t="s">
        <v>766</v>
      </c>
      <c r="D366" t="s">
        <v>930</v>
      </c>
      <c r="E366" t="s">
        <v>2998</v>
      </c>
      <c r="G366" s="520"/>
      <c r="H366" s="520"/>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890</v>
      </c>
      <c r="B367">
        <v>2020</v>
      </c>
      <c r="C367" t="s">
        <v>766</v>
      </c>
      <c r="D367" t="s">
        <v>930</v>
      </c>
      <c r="E367" t="s">
        <v>2998</v>
      </c>
      <c r="G367" s="520"/>
      <c r="H367" s="520"/>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891</v>
      </c>
      <c r="B368">
        <v>2020</v>
      </c>
      <c r="C368" t="s">
        <v>766</v>
      </c>
      <c r="D368" t="s">
        <v>930</v>
      </c>
      <c r="E368" t="s">
        <v>2998</v>
      </c>
      <c r="G368" s="520">
        <v>30122.474399999999</v>
      </c>
      <c r="H368" s="520">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3046</v>
      </c>
      <c r="B369">
        <v>2020</v>
      </c>
      <c r="C369" t="s">
        <v>766</v>
      </c>
      <c r="D369" t="s">
        <v>930</v>
      </c>
      <c r="E369" t="s">
        <v>2998</v>
      </c>
      <c r="G369" s="520">
        <v>1965.6</v>
      </c>
      <c r="H369" s="520"/>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3001</v>
      </c>
      <c r="B370">
        <v>2020</v>
      </c>
      <c r="C370" t="s">
        <v>766</v>
      </c>
      <c r="D370" t="s">
        <v>930</v>
      </c>
      <c r="E370" t="s">
        <v>2998</v>
      </c>
      <c r="G370" s="520">
        <v>2948.4</v>
      </c>
      <c r="H370" s="520"/>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896</v>
      </c>
      <c r="B371">
        <v>2020</v>
      </c>
      <c r="C371" t="s">
        <v>766</v>
      </c>
      <c r="D371" t="s">
        <v>930</v>
      </c>
      <c r="E371" t="s">
        <v>2998</v>
      </c>
      <c r="G371" s="520">
        <v>13405.4136</v>
      </c>
      <c r="H371" s="520">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883</v>
      </c>
      <c r="B372">
        <v>2020</v>
      </c>
      <c r="C372" t="s">
        <v>766</v>
      </c>
      <c r="D372" t="s">
        <v>1475</v>
      </c>
      <c r="E372" t="s">
        <v>2998</v>
      </c>
      <c r="G372" s="520">
        <v>56771.4787</v>
      </c>
      <c r="H372" s="520">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884</v>
      </c>
      <c r="B373">
        <v>2020</v>
      </c>
      <c r="C373" t="s">
        <v>766</v>
      </c>
      <c r="D373" t="s">
        <v>1475</v>
      </c>
      <c r="E373" t="s">
        <v>2998</v>
      </c>
      <c r="G373" s="520">
        <v>88738.433300000004</v>
      </c>
      <c r="H373" s="520">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885</v>
      </c>
      <c r="B374">
        <v>2020</v>
      </c>
      <c r="C374" t="s">
        <v>766</v>
      </c>
      <c r="D374" t="s">
        <v>1475</v>
      </c>
      <c r="E374" t="s">
        <v>2998</v>
      </c>
      <c r="G374" s="520">
        <v>133580.016</v>
      </c>
      <c r="H374" s="520">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886</v>
      </c>
      <c r="B375">
        <v>2020</v>
      </c>
      <c r="C375" t="s">
        <v>766</v>
      </c>
      <c r="D375" t="s">
        <v>1475</v>
      </c>
      <c r="E375" t="s">
        <v>2998</v>
      </c>
      <c r="G375" s="520">
        <v>186840.5141</v>
      </c>
      <c r="H375" s="520">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887</v>
      </c>
      <c r="B376">
        <v>2020</v>
      </c>
      <c r="C376" t="s">
        <v>766</v>
      </c>
      <c r="D376" t="s">
        <v>1475</v>
      </c>
      <c r="E376" t="s">
        <v>2998</v>
      </c>
      <c r="G376" s="520"/>
      <c r="H376" s="520"/>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889</v>
      </c>
      <c r="B377">
        <v>2020</v>
      </c>
      <c r="C377" t="s">
        <v>766</v>
      </c>
      <c r="D377" t="s">
        <v>1475</v>
      </c>
      <c r="E377" t="s">
        <v>2998</v>
      </c>
      <c r="G377" s="520"/>
      <c r="H377" s="520"/>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890</v>
      </c>
      <c r="B378">
        <v>2020</v>
      </c>
      <c r="C378" t="s">
        <v>766</v>
      </c>
      <c r="D378" t="s">
        <v>1475</v>
      </c>
      <c r="E378" t="s">
        <v>2998</v>
      </c>
      <c r="G378" s="520"/>
      <c r="H378" s="520"/>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891</v>
      </c>
      <c r="B379">
        <v>2020</v>
      </c>
      <c r="C379" t="s">
        <v>766</v>
      </c>
      <c r="D379" t="s">
        <v>1475</v>
      </c>
      <c r="E379" t="s">
        <v>2998</v>
      </c>
      <c r="G379" s="520">
        <v>22392.1865</v>
      </c>
      <c r="H379" s="520">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3046</v>
      </c>
      <c r="B380">
        <v>2020</v>
      </c>
      <c r="C380" t="s">
        <v>766</v>
      </c>
      <c r="D380" t="s">
        <v>1475</v>
      </c>
      <c r="E380" t="s">
        <v>2998</v>
      </c>
      <c r="G380" s="520">
        <v>1544.4</v>
      </c>
      <c r="H380" s="520"/>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3001</v>
      </c>
      <c r="B381">
        <v>2020</v>
      </c>
      <c r="C381" t="s">
        <v>766</v>
      </c>
      <c r="D381" t="s">
        <v>1475</v>
      </c>
      <c r="E381" t="s">
        <v>2998</v>
      </c>
      <c r="G381" s="520">
        <v>1965.6</v>
      </c>
      <c r="H381" s="520"/>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896</v>
      </c>
      <c r="B382">
        <v>2020</v>
      </c>
      <c r="C382" t="s">
        <v>766</v>
      </c>
      <c r="D382" t="s">
        <v>1475</v>
      </c>
      <c r="E382" t="s">
        <v>2998</v>
      </c>
      <c r="G382" s="520">
        <v>9912.5640000000003</v>
      </c>
      <c r="H382" s="520">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3055</v>
      </c>
      <c r="L1" s="1149" t="s">
        <v>915</v>
      </c>
      <c r="M1" s="1149"/>
      <c r="N1" s="1149"/>
      <c r="O1" s="1149"/>
      <c r="P1" s="1149"/>
      <c r="Q1" s="1149"/>
      <c r="R1" s="1149"/>
      <c r="S1" s="1149"/>
      <c r="T1" s="1149"/>
      <c r="U1" s="1149"/>
      <c r="V1" s="1149"/>
      <c r="W1" s="1149"/>
      <c r="X1" s="1149"/>
      <c r="Y1" s="1149"/>
      <c r="Z1" s="1149"/>
      <c r="AA1" s="1149"/>
      <c r="AB1" s="1149"/>
      <c r="AC1" s="1149"/>
      <c r="AD1" s="1149"/>
      <c r="AE1" s="1148" t="s">
        <v>3953</v>
      </c>
      <c r="AF1" s="1148"/>
      <c r="AG1" s="1148"/>
      <c r="AH1" s="1148"/>
      <c r="AI1" s="1148"/>
      <c r="AJ1" s="1148"/>
      <c r="AL1" s="1039" t="s">
        <v>3957</v>
      </c>
      <c r="AM1" s="1039"/>
      <c r="AN1" s="1039"/>
      <c r="AO1" s="1039"/>
      <c r="AP1" s="1039"/>
      <c r="AQ1" s="1039"/>
      <c r="AR1" s="1039"/>
      <c r="AS1" s="1039"/>
      <c r="AT1" s="1039"/>
      <c r="AX1" s="28" t="s">
        <v>3970</v>
      </c>
    </row>
    <row r="2" spans="1:61" s="217" customFormat="1" ht="60.75" thickBot="1" x14ac:dyDescent="0.3">
      <c r="A2" s="220" t="s">
        <v>878</v>
      </c>
      <c r="B2" s="220" t="s">
        <v>901</v>
      </c>
      <c r="C2" s="220" t="s">
        <v>902</v>
      </c>
      <c r="D2" s="220" t="s">
        <v>3053</v>
      </c>
      <c r="E2" s="220" t="s">
        <v>903</v>
      </c>
      <c r="F2" s="220" t="s">
        <v>3056</v>
      </c>
      <c r="G2" s="220" t="s">
        <v>3057</v>
      </c>
      <c r="H2" s="801" t="s">
        <v>3991</v>
      </c>
      <c r="I2" s="801" t="s">
        <v>3058</v>
      </c>
      <c r="J2" s="801" t="s">
        <v>3059</v>
      </c>
      <c r="K2" s="801" t="s">
        <v>3060</v>
      </c>
      <c r="L2" s="802" t="s">
        <v>882</v>
      </c>
      <c r="M2" s="802" t="s">
        <v>3935</v>
      </c>
      <c r="N2" s="802" t="s">
        <v>3944</v>
      </c>
      <c r="O2" s="802" t="s">
        <v>3945</v>
      </c>
      <c r="P2" s="802" t="s">
        <v>3936</v>
      </c>
      <c r="Q2" s="802" t="s">
        <v>3946</v>
      </c>
      <c r="R2" s="802" t="s">
        <v>3937</v>
      </c>
      <c r="S2" s="802" t="s">
        <v>3938</v>
      </c>
      <c r="T2" s="802" t="s">
        <v>904</v>
      </c>
      <c r="U2" s="802" t="s">
        <v>3939</v>
      </c>
      <c r="V2" s="802" t="s">
        <v>3947</v>
      </c>
      <c r="W2" s="802" t="s">
        <v>3940</v>
      </c>
      <c r="X2" s="802" t="s">
        <v>3948</v>
      </c>
      <c r="Y2" s="802" t="s">
        <v>3941</v>
      </c>
      <c r="Z2" s="802" t="s">
        <v>3942</v>
      </c>
      <c r="AA2" s="802" t="s">
        <v>881</v>
      </c>
      <c r="AB2" s="802" t="s">
        <v>3943</v>
      </c>
      <c r="AC2" s="802" t="s">
        <v>3949</v>
      </c>
      <c r="AD2" s="221" t="s">
        <v>3934</v>
      </c>
      <c r="AE2" s="222" t="s">
        <v>3950</v>
      </c>
      <c r="AF2" s="222" t="s">
        <v>3951</v>
      </c>
      <c r="AG2" s="222" t="s">
        <v>3952</v>
      </c>
      <c r="AH2" s="222" t="s">
        <v>3954</v>
      </c>
      <c r="AI2" s="222" t="s">
        <v>3955</v>
      </c>
      <c r="AJ2" s="222" t="s">
        <v>3956</v>
      </c>
      <c r="AK2" s="224"/>
      <c r="AL2" s="210" t="s">
        <v>927</v>
      </c>
      <c r="AM2" s="210" t="s">
        <v>3971</v>
      </c>
      <c r="AN2" s="210" t="s">
        <v>3958</v>
      </c>
      <c r="AO2" s="210" t="s">
        <v>917</v>
      </c>
      <c r="AP2" s="210" t="s">
        <v>916</v>
      </c>
      <c r="AQ2" s="210" t="s">
        <v>918</v>
      </c>
      <c r="AR2" s="210" t="s">
        <v>919</v>
      </c>
      <c r="AS2" s="210" t="s">
        <v>920</v>
      </c>
      <c r="AT2" s="210" t="s">
        <v>921</v>
      </c>
      <c r="AV2" s="215" t="s">
        <v>928</v>
      </c>
      <c r="AX2" s="803" t="s">
        <v>3960</v>
      </c>
      <c r="AY2" s="803" t="s">
        <v>3964</v>
      </c>
      <c r="AZ2" s="803" t="s">
        <v>3965</v>
      </c>
      <c r="BA2" s="803" t="s">
        <v>3966</v>
      </c>
      <c r="BB2" s="803" t="s">
        <v>3967</v>
      </c>
      <c r="BC2" s="803" t="s">
        <v>3968</v>
      </c>
      <c r="BD2" s="803" t="s">
        <v>3978</v>
      </c>
      <c r="BE2" s="803" t="s">
        <v>3969</v>
      </c>
      <c r="BF2" s="804" t="s">
        <v>3972</v>
      </c>
      <c r="BH2" s="804" t="s">
        <v>3053</v>
      </c>
      <c r="BI2" s="804" t="s">
        <v>3971</v>
      </c>
    </row>
    <row r="3" spans="1:61" ht="16.5" thickTop="1" thickBot="1" x14ac:dyDescent="0.3">
      <c r="A3" t="s">
        <v>905</v>
      </c>
      <c r="B3">
        <v>2023</v>
      </c>
      <c r="C3" t="s">
        <v>766</v>
      </c>
      <c r="D3" t="s">
        <v>589</v>
      </c>
      <c r="E3" t="s">
        <v>1329</v>
      </c>
      <c r="F3">
        <v>2</v>
      </c>
      <c r="G3" t="s">
        <v>3061</v>
      </c>
      <c r="H3" s="561">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3961</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3062</v>
      </c>
      <c r="H4" s="561">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3962</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3063</v>
      </c>
      <c r="H5" s="561">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3975</v>
      </c>
      <c r="AX5" t="s">
        <v>3963</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3064</v>
      </c>
      <c r="H6" s="561">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9">
        <f>SUMPRODUCT(AY16:AY21,AZ16:AZ21)</f>
        <v>0.63295458190935094</v>
      </c>
      <c r="AX6" t="s">
        <v>3959</v>
      </c>
      <c r="AY6" s="810">
        <v>0.8</v>
      </c>
      <c r="AZ6" s="810">
        <v>0.8</v>
      </c>
      <c r="BA6" s="810">
        <v>0.5</v>
      </c>
      <c r="BB6" s="810">
        <v>0.8</v>
      </c>
      <c r="BC6" s="810">
        <v>0.8</v>
      </c>
      <c r="BD6" s="810">
        <v>0.8</v>
      </c>
      <c r="BE6" s="810">
        <v>0.8</v>
      </c>
      <c r="BF6" s="810">
        <v>0.5</v>
      </c>
      <c r="BH6" t="s">
        <v>935</v>
      </c>
      <c r="BI6" t="s">
        <v>935</v>
      </c>
    </row>
    <row r="7" spans="1:61" x14ac:dyDescent="0.25">
      <c r="A7" t="s">
        <v>908</v>
      </c>
      <c r="B7">
        <v>2023</v>
      </c>
      <c r="C7" t="s">
        <v>766</v>
      </c>
      <c r="D7" t="s">
        <v>589</v>
      </c>
      <c r="E7" t="s">
        <v>1329</v>
      </c>
      <c r="F7">
        <v>2</v>
      </c>
      <c r="G7" t="s">
        <v>3065</v>
      </c>
      <c r="H7" s="561">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6"/>
      <c r="AX7" t="s">
        <v>3977</v>
      </c>
      <c r="BH7" t="s">
        <v>913</v>
      </c>
      <c r="BI7" t="s">
        <v>913</v>
      </c>
    </row>
    <row r="8" spans="1:61" x14ac:dyDescent="0.25">
      <c r="A8" t="s">
        <v>908</v>
      </c>
      <c r="B8">
        <v>2023</v>
      </c>
      <c r="C8" t="s">
        <v>766</v>
      </c>
      <c r="D8" t="s">
        <v>589</v>
      </c>
      <c r="E8" t="s">
        <v>1329</v>
      </c>
      <c r="F8">
        <v>2</v>
      </c>
      <c r="G8" t="s">
        <v>3066</v>
      </c>
      <c r="H8" s="561">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7" t="s">
        <v>3976</v>
      </c>
      <c r="BH8" t="s">
        <v>937</v>
      </c>
      <c r="BI8" t="s">
        <v>913</v>
      </c>
    </row>
    <row r="9" spans="1:61" ht="15.75" thickBot="1" x14ac:dyDescent="0.3">
      <c r="A9" t="s">
        <v>247</v>
      </c>
      <c r="B9">
        <v>2023</v>
      </c>
      <c r="C9" t="s">
        <v>766</v>
      </c>
      <c r="D9" t="s">
        <v>589</v>
      </c>
      <c r="E9" t="s">
        <v>1329</v>
      </c>
      <c r="F9">
        <v>2</v>
      </c>
      <c r="G9" t="s">
        <v>3067</v>
      </c>
      <c r="H9" s="561">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8">
        <f>AY22</f>
        <v>0.39662766784695136</v>
      </c>
      <c r="AX9" s="28" t="s">
        <v>4036</v>
      </c>
      <c r="BH9" t="s">
        <v>914</v>
      </c>
      <c r="BI9" t="s">
        <v>914</v>
      </c>
    </row>
    <row r="10" spans="1:61" ht="15.75" thickBot="1" x14ac:dyDescent="0.3">
      <c r="A10" t="s">
        <v>567</v>
      </c>
      <c r="B10">
        <v>2023</v>
      </c>
      <c r="C10" t="s">
        <v>766</v>
      </c>
      <c r="D10" t="s">
        <v>589</v>
      </c>
      <c r="E10" t="s">
        <v>1329</v>
      </c>
      <c r="F10">
        <v>2</v>
      </c>
      <c r="G10" t="s">
        <v>3068</v>
      </c>
      <c r="H10" s="561">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5">
        <v>2030</v>
      </c>
      <c r="BB10" s="88">
        <v>2035</v>
      </c>
      <c r="BC10" s="805">
        <v>2050</v>
      </c>
      <c r="BD10" s="808"/>
      <c r="BH10" t="s">
        <v>909</v>
      </c>
      <c r="BI10" t="s">
        <v>913</v>
      </c>
    </row>
    <row r="11" spans="1:61" ht="15.75" thickTop="1" x14ac:dyDescent="0.25">
      <c r="A11" t="s">
        <v>929</v>
      </c>
      <c r="B11">
        <v>2023</v>
      </c>
      <c r="C11" t="s">
        <v>766</v>
      </c>
      <c r="D11" t="s">
        <v>589</v>
      </c>
      <c r="E11" t="s">
        <v>1329</v>
      </c>
      <c r="F11">
        <v>2</v>
      </c>
      <c r="G11" t="s">
        <v>3069</v>
      </c>
      <c r="H11" s="561">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3973</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3070</v>
      </c>
      <c r="H12" s="561">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3974</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3071</v>
      </c>
      <c r="H13" s="561">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3072</v>
      </c>
      <c r="H14" s="561">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4037</v>
      </c>
    </row>
    <row r="15" spans="1:61" ht="15.75" thickBot="1" x14ac:dyDescent="0.3">
      <c r="A15" t="s">
        <v>907</v>
      </c>
      <c r="B15">
        <v>2025</v>
      </c>
      <c r="C15" t="s">
        <v>766</v>
      </c>
      <c r="D15" t="s">
        <v>589</v>
      </c>
      <c r="E15" t="s">
        <v>1329</v>
      </c>
      <c r="F15">
        <v>2</v>
      </c>
      <c r="G15" t="s">
        <v>3073</v>
      </c>
      <c r="H15" s="561">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4045</v>
      </c>
    </row>
    <row r="16" spans="1:61" ht="15.75" thickTop="1" x14ac:dyDescent="0.25">
      <c r="A16" t="s">
        <v>908</v>
      </c>
      <c r="B16">
        <v>2025</v>
      </c>
      <c r="C16" t="s">
        <v>766</v>
      </c>
      <c r="D16" t="s">
        <v>589</v>
      </c>
      <c r="E16" t="s">
        <v>1329</v>
      </c>
      <c r="F16">
        <v>2</v>
      </c>
      <c r="G16" t="s">
        <v>3074</v>
      </c>
      <c r="H16" s="561">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3075</v>
      </c>
      <c r="H17" s="561">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3076</v>
      </c>
      <c r="H18" s="561">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3077</v>
      </c>
      <c r="H19" s="561">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3078</v>
      </c>
      <c r="H20" s="561">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3079</v>
      </c>
      <c r="H21" s="561">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3080</v>
      </c>
      <c r="H22" s="561">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3081</v>
      </c>
      <c r="H23" s="561">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3082</v>
      </c>
      <c r="H24" s="561">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3083</v>
      </c>
      <c r="H25" s="561">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3084</v>
      </c>
      <c r="H26" s="561">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3085</v>
      </c>
      <c r="H27" s="561">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3086</v>
      </c>
      <c r="H28" s="561">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3087</v>
      </c>
      <c r="H29" s="561">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3088</v>
      </c>
      <c r="H30" s="561">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3089</v>
      </c>
      <c r="H31" s="561">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3090</v>
      </c>
      <c r="H32" s="561">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3091</v>
      </c>
      <c r="H33" s="561">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3092</v>
      </c>
      <c r="H34" s="561">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3093</v>
      </c>
      <c r="H35" s="561">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3094</v>
      </c>
      <c r="H36" s="561">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3095</v>
      </c>
      <c r="H37" s="561">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3096</v>
      </c>
      <c r="H38" s="561">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3097</v>
      </c>
      <c r="H39" s="561">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3098</v>
      </c>
      <c r="H40" s="561">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3099</v>
      </c>
      <c r="H41" s="561">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3100</v>
      </c>
      <c r="H42" s="561">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3101</v>
      </c>
      <c r="H43" s="561">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3102</v>
      </c>
      <c r="H44" s="561">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3103</v>
      </c>
      <c r="H45" s="561">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3104</v>
      </c>
      <c r="H46" s="561">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3105</v>
      </c>
      <c r="H47" s="561">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3106</v>
      </c>
      <c r="H48" s="561">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3107</v>
      </c>
      <c r="H49" s="561">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3108</v>
      </c>
      <c r="H50" s="561">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3109</v>
      </c>
      <c r="H51" s="561">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3110</v>
      </c>
      <c r="H52" s="561">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3111</v>
      </c>
      <c r="H53" s="561">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3112</v>
      </c>
      <c r="H54" s="561">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3113</v>
      </c>
      <c r="H55" s="561">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3114</v>
      </c>
      <c r="H56" s="561">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3115</v>
      </c>
      <c r="H57" s="561">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3116</v>
      </c>
      <c r="H58" s="561">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3117</v>
      </c>
      <c r="H59" s="561">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3118</v>
      </c>
      <c r="H60" s="561">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3119</v>
      </c>
      <c r="H61" s="561">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3120</v>
      </c>
      <c r="H62" s="561">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3121</v>
      </c>
      <c r="H63" s="561">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3122</v>
      </c>
      <c r="H64" s="561">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3123</v>
      </c>
      <c r="H65" s="561">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3124</v>
      </c>
      <c r="H66" s="561">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3125</v>
      </c>
      <c r="H67" s="561">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3126</v>
      </c>
      <c r="H68" s="561">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3127</v>
      </c>
      <c r="H69" s="561">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3128</v>
      </c>
      <c r="H70" s="561">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3129</v>
      </c>
      <c r="H71" s="561">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3130</v>
      </c>
      <c r="H72" s="561">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3131</v>
      </c>
      <c r="H73" s="561">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3132</v>
      </c>
      <c r="H74" s="561">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3133</v>
      </c>
      <c r="H75" s="561">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3134</v>
      </c>
      <c r="H76" s="561">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3135</v>
      </c>
      <c r="H77" s="561">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3136</v>
      </c>
      <c r="H78" s="561">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3137</v>
      </c>
      <c r="H79" s="561">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3138</v>
      </c>
      <c r="H80" s="561">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3139</v>
      </c>
      <c r="H81" s="561">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3140</v>
      </c>
      <c r="H82" s="561">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3141</v>
      </c>
      <c r="H83" s="561">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3142</v>
      </c>
      <c r="H84" s="561">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3143</v>
      </c>
      <c r="H85" s="561">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3144</v>
      </c>
      <c r="H86" s="561">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3145</v>
      </c>
      <c r="H87" s="561">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3146</v>
      </c>
      <c r="H88" s="561">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3147</v>
      </c>
      <c r="H89" s="561">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3148</v>
      </c>
      <c r="H90" s="561">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3149</v>
      </c>
      <c r="H91" s="561">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3150</v>
      </c>
      <c r="H92" s="561">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3151</v>
      </c>
      <c r="H93" s="561">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3152</v>
      </c>
      <c r="H94" s="561">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3153</v>
      </c>
      <c r="H95" s="561">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3154</v>
      </c>
      <c r="H96" s="561">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3155</v>
      </c>
      <c r="H97" s="561">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3156</v>
      </c>
      <c r="H98" s="561">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3157</v>
      </c>
      <c r="H99" s="561">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3158</v>
      </c>
      <c r="H100" s="561">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3159</v>
      </c>
      <c r="H101" s="561">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3160</v>
      </c>
      <c r="H102" s="561">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3161</v>
      </c>
      <c r="H103" s="561">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3162</v>
      </c>
      <c r="H104" s="561">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3163</v>
      </c>
      <c r="H105" s="561">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3164</v>
      </c>
      <c r="H106" s="561">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3165</v>
      </c>
      <c r="H107" s="561">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3166</v>
      </c>
      <c r="H108" s="561">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3167</v>
      </c>
      <c r="H109" s="561">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3168</v>
      </c>
      <c r="H110" s="561">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3169</v>
      </c>
      <c r="H111" s="561">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3170</v>
      </c>
      <c r="H112" s="561">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3171</v>
      </c>
      <c r="H113" s="561">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3172</v>
      </c>
      <c r="H114" s="561">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3173</v>
      </c>
      <c r="H115" s="561">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3174</v>
      </c>
      <c r="H116" s="561">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3175</v>
      </c>
      <c r="H117" s="561">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3176</v>
      </c>
      <c r="H118" s="561">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3177</v>
      </c>
      <c r="H119" s="561">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3178</v>
      </c>
      <c r="H120" s="561">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3179</v>
      </c>
      <c r="H121" s="561">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3180</v>
      </c>
      <c r="H122" s="561">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3181</v>
      </c>
      <c r="H123" s="561">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3182</v>
      </c>
      <c r="H124" s="561">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3183</v>
      </c>
      <c r="H125" s="561">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3184</v>
      </c>
      <c r="H126" s="561">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3185</v>
      </c>
      <c r="H127" s="561">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3186</v>
      </c>
      <c r="H128" s="561">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3187</v>
      </c>
      <c r="H129" s="561">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3188</v>
      </c>
      <c r="H130" s="561">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3189</v>
      </c>
      <c r="H131" s="561">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3190</v>
      </c>
      <c r="H132" s="561">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3191</v>
      </c>
      <c r="H133" s="561">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3192</v>
      </c>
      <c r="H134" s="561">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3193</v>
      </c>
      <c r="H135" s="561">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3194</v>
      </c>
      <c r="H136" s="561">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3195</v>
      </c>
      <c r="H137" s="561">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3196</v>
      </c>
      <c r="H138" s="561">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3197</v>
      </c>
      <c r="H139" s="561">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3198</v>
      </c>
      <c r="H140" s="561">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3199</v>
      </c>
      <c r="H141" s="561">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3200</v>
      </c>
      <c r="H142" s="561">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3201</v>
      </c>
      <c r="H143" s="561">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3202</v>
      </c>
      <c r="H144" s="561">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3203</v>
      </c>
      <c r="H145" s="561">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3204</v>
      </c>
      <c r="H146" s="561">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3205</v>
      </c>
      <c r="H147" s="561">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3206</v>
      </c>
      <c r="H148" s="561">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3207</v>
      </c>
      <c r="H149" s="561">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3208</v>
      </c>
      <c r="H150" s="561">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3209</v>
      </c>
      <c r="H151" s="561">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3210</v>
      </c>
      <c r="H152" s="561">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3211</v>
      </c>
      <c r="H153" s="561">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3212</v>
      </c>
      <c r="H154" s="561">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3213</v>
      </c>
      <c r="H155" s="561">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3214</v>
      </c>
      <c r="H156" s="561">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3215</v>
      </c>
      <c r="H157" s="561">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3216</v>
      </c>
      <c r="H158" s="561">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3217</v>
      </c>
      <c r="H159" s="561">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3218</v>
      </c>
      <c r="H160" s="561">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3219</v>
      </c>
      <c r="H161" s="561">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3220</v>
      </c>
      <c r="H162" s="561">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3221</v>
      </c>
      <c r="H163" s="561">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3222</v>
      </c>
      <c r="H164" s="561">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3223</v>
      </c>
      <c r="H165" s="561">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3224</v>
      </c>
      <c r="H166" s="561">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3225</v>
      </c>
      <c r="H167" s="561">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3226</v>
      </c>
      <c r="H168" s="561">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3227</v>
      </c>
      <c r="H169" s="561">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3228</v>
      </c>
      <c r="H170" s="561">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3229</v>
      </c>
      <c r="H171" s="561">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3230</v>
      </c>
      <c r="H172" s="561">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3231</v>
      </c>
      <c r="H173" s="561">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3232</v>
      </c>
      <c r="H174" s="561">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3233</v>
      </c>
      <c r="H175" s="561">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3234</v>
      </c>
      <c r="H176" s="561">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3235</v>
      </c>
      <c r="H177" s="561">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3236</v>
      </c>
      <c r="H178" s="561">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3237</v>
      </c>
      <c r="H179" s="561">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3238</v>
      </c>
      <c r="H180" s="561">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3239</v>
      </c>
      <c r="H181" s="561">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3240</v>
      </c>
      <c r="H182" s="561">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3241</v>
      </c>
      <c r="H183" s="561">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3242</v>
      </c>
      <c r="H184" s="561">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3243</v>
      </c>
      <c r="H185" s="561">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3244</v>
      </c>
      <c r="H186" s="561">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3245</v>
      </c>
      <c r="H187" s="561">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3246</v>
      </c>
      <c r="H188" s="561">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3247</v>
      </c>
      <c r="H189" s="561">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3248</v>
      </c>
      <c r="H190" s="561">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3249</v>
      </c>
      <c r="H191" s="561">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3250</v>
      </c>
      <c r="H192" s="561">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3251</v>
      </c>
      <c r="H193" s="561">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3252</v>
      </c>
      <c r="H194" s="561">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3253</v>
      </c>
      <c r="H195" s="561">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3254</v>
      </c>
      <c r="H196" s="561">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3255</v>
      </c>
      <c r="H197" s="561">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3256</v>
      </c>
      <c r="H198" s="561">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3257</v>
      </c>
      <c r="H199" s="561">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3258</v>
      </c>
      <c r="H200" s="561">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3259</v>
      </c>
      <c r="H201" s="561">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3260</v>
      </c>
      <c r="H202" s="561">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3261</v>
      </c>
      <c r="H203" s="561">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3262</v>
      </c>
      <c r="H204" s="561">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3263</v>
      </c>
      <c r="H205" s="561">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3264</v>
      </c>
      <c r="H206" s="561">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3265</v>
      </c>
      <c r="H207" s="561">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3266</v>
      </c>
      <c r="H208" s="561">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3267</v>
      </c>
      <c r="H209" s="561">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3268</v>
      </c>
      <c r="H210" s="561">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3269</v>
      </c>
      <c r="H211" s="561">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3270</v>
      </c>
      <c r="H212" s="561">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3271</v>
      </c>
      <c r="H213" s="561">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3272</v>
      </c>
      <c r="H214" s="561">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3273</v>
      </c>
      <c r="H215" s="561">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3274</v>
      </c>
      <c r="H216" s="561">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3275</v>
      </c>
      <c r="H217" s="561">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3276</v>
      </c>
      <c r="H218" s="561">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3277</v>
      </c>
      <c r="H219" s="561">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3278</v>
      </c>
      <c r="H220" s="561">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3279</v>
      </c>
      <c r="H221" s="561">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3280</v>
      </c>
      <c r="H222" s="561">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3281</v>
      </c>
      <c r="H223" s="561">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3282</v>
      </c>
      <c r="H224" s="561">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3283</v>
      </c>
      <c r="H225" s="561">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3284</v>
      </c>
      <c r="H226" s="561">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3285</v>
      </c>
      <c r="H227" s="561">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3286</v>
      </c>
      <c r="H228" s="561">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3287</v>
      </c>
      <c r="H229" s="561">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3288</v>
      </c>
      <c r="H230" s="561">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3289</v>
      </c>
      <c r="H231" s="561">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3290</v>
      </c>
      <c r="H232" s="561">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3291</v>
      </c>
      <c r="H233" s="561">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3292</v>
      </c>
      <c r="H234" s="561">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3293</v>
      </c>
      <c r="H235" s="561">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3294</v>
      </c>
      <c r="H236" s="561">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3295</v>
      </c>
      <c r="H237" s="561">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3296</v>
      </c>
      <c r="H238" s="561">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3297</v>
      </c>
      <c r="H239" s="561">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3298</v>
      </c>
      <c r="H240" s="561">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3299</v>
      </c>
      <c r="H241" s="561">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3300</v>
      </c>
      <c r="H242" s="561">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3301</v>
      </c>
      <c r="H243" s="561">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3302</v>
      </c>
      <c r="H244" s="561">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3303</v>
      </c>
      <c r="H245" s="561">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3304</v>
      </c>
      <c r="H246" s="561">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3305</v>
      </c>
      <c r="H247" s="561">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3306</v>
      </c>
      <c r="H248" s="561">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3307</v>
      </c>
      <c r="H249" s="561">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3308</v>
      </c>
      <c r="H250" s="561">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3309</v>
      </c>
      <c r="H251" s="561">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3310</v>
      </c>
      <c r="H252" s="561">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3311</v>
      </c>
      <c r="H253" s="561">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3312</v>
      </c>
      <c r="H254" s="561">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3313</v>
      </c>
      <c r="H255" s="561">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3314</v>
      </c>
      <c r="H256" s="561">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3315</v>
      </c>
      <c r="H257" s="561">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3316</v>
      </c>
      <c r="H258" s="561">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3317</v>
      </c>
      <c r="H259" s="561">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3318</v>
      </c>
      <c r="H260" s="561">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3319</v>
      </c>
      <c r="H261" s="561">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3320</v>
      </c>
      <c r="H262" s="561">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3321</v>
      </c>
      <c r="H263" s="561">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3322</v>
      </c>
      <c r="H264" s="561">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3323</v>
      </c>
      <c r="H265" s="561">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3324</v>
      </c>
      <c r="H266" s="561">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3325</v>
      </c>
      <c r="H267" s="561">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3326</v>
      </c>
      <c r="H268" s="561">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3327</v>
      </c>
      <c r="H269" s="561">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3328</v>
      </c>
      <c r="H270" s="561">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3329</v>
      </c>
      <c r="H271" s="561">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3330</v>
      </c>
      <c r="H272" s="561">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3331</v>
      </c>
      <c r="H273" s="561">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3332</v>
      </c>
      <c r="H274" s="561">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3333</v>
      </c>
      <c r="H275" s="561">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3334</v>
      </c>
      <c r="H276" s="561">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3335</v>
      </c>
      <c r="H277" s="561">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3336</v>
      </c>
      <c r="H278" s="561">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3337</v>
      </c>
      <c r="H279" s="561">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3338</v>
      </c>
      <c r="H280" s="561">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3339</v>
      </c>
      <c r="H281" s="561">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3340</v>
      </c>
      <c r="H282" s="561">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3341</v>
      </c>
      <c r="H283" s="561">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3342</v>
      </c>
      <c r="H284" s="561">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3343</v>
      </c>
      <c r="H285" s="561">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3344</v>
      </c>
      <c r="H286" s="561">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3345</v>
      </c>
      <c r="H287" s="561">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3346</v>
      </c>
      <c r="H288" s="561">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3347</v>
      </c>
      <c r="H289" s="561">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3348</v>
      </c>
      <c r="H290" s="561">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3349</v>
      </c>
      <c r="H291" s="561">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3350</v>
      </c>
      <c r="H292" s="561">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3351</v>
      </c>
      <c r="H293" s="561">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3352</v>
      </c>
      <c r="H294" s="561">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3353</v>
      </c>
      <c r="H295" s="561">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3354</v>
      </c>
      <c r="H296" s="561">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3355</v>
      </c>
      <c r="H297" s="561">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3356</v>
      </c>
      <c r="H298" s="561">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3357</v>
      </c>
      <c r="H299" s="561">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3358</v>
      </c>
      <c r="H300" s="561">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3359</v>
      </c>
      <c r="H301" s="561">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3360</v>
      </c>
      <c r="H302" s="561">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3361</v>
      </c>
      <c r="H303" s="561">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3362</v>
      </c>
      <c r="H304" s="561">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3363</v>
      </c>
      <c r="H305" s="561">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3364</v>
      </c>
      <c r="H306" s="561">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3365</v>
      </c>
      <c r="H307" s="561">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3366</v>
      </c>
      <c r="H308" s="561">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3367</v>
      </c>
      <c r="H309" s="561">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3368</v>
      </c>
      <c r="H310" s="561">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3369</v>
      </c>
      <c r="H311" s="561">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3370</v>
      </c>
      <c r="H312" s="561">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3371</v>
      </c>
      <c r="H313" s="561">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3372</v>
      </c>
      <c r="H314" s="561">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3373</v>
      </c>
      <c r="H315" s="561">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3374</v>
      </c>
      <c r="H316" s="561">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3375</v>
      </c>
      <c r="H317" s="561">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3376</v>
      </c>
      <c r="H318" s="561">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3377</v>
      </c>
      <c r="H319" s="561">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3378</v>
      </c>
      <c r="H320" s="561">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3379</v>
      </c>
      <c r="H321" s="561">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3380</v>
      </c>
      <c r="H322" s="561">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3381</v>
      </c>
      <c r="H323" s="561">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3382</v>
      </c>
      <c r="H324" s="561">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3383</v>
      </c>
      <c r="H325" s="561">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3384</v>
      </c>
      <c r="H326" s="561">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3385</v>
      </c>
      <c r="H327" s="561">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3386</v>
      </c>
      <c r="H328" s="561">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3387</v>
      </c>
      <c r="H329" s="561">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3388</v>
      </c>
      <c r="H330" s="561">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3389</v>
      </c>
      <c r="H331" s="561">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3390</v>
      </c>
      <c r="H332" s="561">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3391</v>
      </c>
      <c r="H333" s="561">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3392</v>
      </c>
      <c r="H334" s="561">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3393</v>
      </c>
      <c r="H335" s="561">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3394</v>
      </c>
      <c r="H336" s="561">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3395</v>
      </c>
      <c r="H337" s="561">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3396</v>
      </c>
      <c r="H338" s="561">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3397</v>
      </c>
      <c r="H339" s="561">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3398</v>
      </c>
      <c r="H340" s="561">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3399</v>
      </c>
      <c r="H341" s="561">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3400</v>
      </c>
      <c r="H342" s="561">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3401</v>
      </c>
      <c r="H343" s="561">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3402</v>
      </c>
      <c r="H344" s="561">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3403</v>
      </c>
      <c r="H345" s="561">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3404</v>
      </c>
      <c r="H346" s="561">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3405</v>
      </c>
      <c r="H347" s="561">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3406</v>
      </c>
      <c r="H348" s="561">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3407</v>
      </c>
      <c r="H349" s="561">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3408</v>
      </c>
      <c r="H350" s="561">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3409</v>
      </c>
      <c r="H351" s="561">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3410</v>
      </c>
      <c r="H352" s="561">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3411</v>
      </c>
      <c r="H353" s="561">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3412</v>
      </c>
      <c r="H354" s="561">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3413</v>
      </c>
      <c r="H355" s="561">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3414</v>
      </c>
      <c r="H356" s="561">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3415</v>
      </c>
      <c r="H357" s="561">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3416</v>
      </c>
      <c r="H358" s="561">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3417</v>
      </c>
      <c r="H359" s="561">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3418</v>
      </c>
      <c r="H360" s="561">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3419</v>
      </c>
      <c r="H361" s="561">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3420</v>
      </c>
      <c r="H362" s="561">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3421</v>
      </c>
      <c r="H363" s="561">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3422</v>
      </c>
      <c r="H364" s="561">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3423</v>
      </c>
      <c r="H365" s="561">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3424</v>
      </c>
      <c r="H366" s="561">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3425</v>
      </c>
      <c r="H367" s="561">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3426</v>
      </c>
      <c r="H368" s="561">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3427</v>
      </c>
      <c r="H369" s="561">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3428</v>
      </c>
      <c r="H370" s="561">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3429</v>
      </c>
      <c r="H371" s="561">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3430</v>
      </c>
      <c r="H372" s="561">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3431</v>
      </c>
      <c r="H373" s="561">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3432</v>
      </c>
      <c r="H374" s="561">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3433</v>
      </c>
      <c r="H375" s="561">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3434</v>
      </c>
      <c r="H376" s="561">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3435</v>
      </c>
      <c r="H377" s="561">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3436</v>
      </c>
      <c r="H378" s="561">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3437</v>
      </c>
      <c r="H379" s="561">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3438</v>
      </c>
      <c r="H380" s="561">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3439</v>
      </c>
      <c r="H381" s="561">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3440</v>
      </c>
      <c r="H382" s="561">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3441</v>
      </c>
      <c r="H383" s="561">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3442</v>
      </c>
      <c r="H384" s="561">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3443</v>
      </c>
      <c r="H385" s="561">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3444</v>
      </c>
      <c r="H386" s="561">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3445</v>
      </c>
      <c r="H387" s="561">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3446</v>
      </c>
      <c r="H388" s="561">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3447</v>
      </c>
      <c r="H389" s="561">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3448</v>
      </c>
      <c r="H390" s="561">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3449</v>
      </c>
      <c r="H391" s="561">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3450</v>
      </c>
      <c r="H392" s="561">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3451</v>
      </c>
      <c r="H393" s="561">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3452</v>
      </c>
      <c r="H394" s="561">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3453</v>
      </c>
      <c r="H395" s="561">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3454</v>
      </c>
      <c r="H396" s="561">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3455</v>
      </c>
      <c r="H397" s="561">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3456</v>
      </c>
      <c r="H398" s="561">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3457</v>
      </c>
      <c r="H399" s="561">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3458</v>
      </c>
      <c r="H400" s="561">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3459</v>
      </c>
      <c r="H401" s="561">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3460</v>
      </c>
      <c r="H402" s="561">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3461</v>
      </c>
      <c r="H403" s="561">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3462</v>
      </c>
      <c r="H404" s="561">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3463</v>
      </c>
      <c r="H405" s="561">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3464</v>
      </c>
      <c r="H406" s="561">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3465</v>
      </c>
      <c r="H407" s="561">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3466</v>
      </c>
      <c r="H408" s="561">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3467</v>
      </c>
      <c r="H409" s="561">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3468</v>
      </c>
      <c r="H410" s="561">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3469</v>
      </c>
      <c r="H411" s="561">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3470</v>
      </c>
      <c r="H412" s="561">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3471</v>
      </c>
      <c r="H413" s="561">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3472</v>
      </c>
      <c r="H414" s="561">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3473</v>
      </c>
      <c r="H415" s="561">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3474</v>
      </c>
      <c r="H416" s="561">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3475</v>
      </c>
      <c r="H417" s="561">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3476</v>
      </c>
      <c r="H418" s="561">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3477</v>
      </c>
      <c r="H419" s="561">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3478</v>
      </c>
      <c r="H420" s="561">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3479</v>
      </c>
      <c r="H421" s="561">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3480</v>
      </c>
      <c r="H422" s="561">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3481</v>
      </c>
      <c r="H423" s="561">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3482</v>
      </c>
      <c r="H424" s="561">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3483</v>
      </c>
      <c r="H425" s="561">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3484</v>
      </c>
      <c r="H426" s="561">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3485</v>
      </c>
      <c r="H427" s="561">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3486</v>
      </c>
      <c r="H428" s="561">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3487</v>
      </c>
      <c r="H429" s="561">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3488</v>
      </c>
      <c r="H430" s="561">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3489</v>
      </c>
      <c r="H431" s="561">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3490</v>
      </c>
      <c r="H432" s="561">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3491</v>
      </c>
      <c r="H433" s="561">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3492</v>
      </c>
      <c r="H434" s="561">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3493</v>
      </c>
      <c r="H435" s="561">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3494</v>
      </c>
      <c r="H436" s="561">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3495</v>
      </c>
      <c r="H437" s="561">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3496</v>
      </c>
      <c r="H438" s="561">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3497</v>
      </c>
      <c r="H439" s="561">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3498</v>
      </c>
      <c r="H440" s="561">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3499</v>
      </c>
      <c r="H441" s="561">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3500</v>
      </c>
      <c r="H442" s="561">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3501</v>
      </c>
      <c r="H443" s="561">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3502</v>
      </c>
      <c r="H444" s="561">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3503</v>
      </c>
      <c r="H445" s="561">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3504</v>
      </c>
      <c r="H446" s="561">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3505</v>
      </c>
      <c r="H447" s="561">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3506</v>
      </c>
      <c r="H448" s="561">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3507</v>
      </c>
      <c r="H449" s="561">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3508</v>
      </c>
      <c r="H450" s="561">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3509</v>
      </c>
      <c r="H451" s="561">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3510</v>
      </c>
      <c r="H452" s="561">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3511</v>
      </c>
      <c r="H453" s="561">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3512</v>
      </c>
      <c r="H454" s="561">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3513</v>
      </c>
      <c r="H455" s="561">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3514</v>
      </c>
      <c r="H456" s="561">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3515</v>
      </c>
      <c r="H457" s="561">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3516</v>
      </c>
      <c r="H458" s="561">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3517</v>
      </c>
      <c r="H459" s="561">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3518</v>
      </c>
      <c r="H460" s="561">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3519</v>
      </c>
      <c r="H461" s="561">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3520</v>
      </c>
      <c r="H462" s="561">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3521</v>
      </c>
      <c r="H463" s="561">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3522</v>
      </c>
      <c r="H464" s="561">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3523</v>
      </c>
      <c r="H465" s="561">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3524</v>
      </c>
      <c r="H466" s="561">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3525</v>
      </c>
      <c r="H467" s="561">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3526</v>
      </c>
      <c r="H468" s="561">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3527</v>
      </c>
      <c r="H469" s="561">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3528</v>
      </c>
      <c r="H470" s="561">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3529</v>
      </c>
      <c r="H471" s="561">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3530</v>
      </c>
      <c r="H472" s="561">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3531</v>
      </c>
      <c r="H473" s="561">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3532</v>
      </c>
      <c r="H474" s="561">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3533</v>
      </c>
      <c r="H475" s="561">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3534</v>
      </c>
      <c r="H476" s="561">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3535</v>
      </c>
      <c r="H477" s="561">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3536</v>
      </c>
      <c r="H478" s="561">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3537</v>
      </c>
      <c r="H479" s="561">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3538</v>
      </c>
      <c r="H480" s="561">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3539</v>
      </c>
      <c r="H481" s="561">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3540</v>
      </c>
      <c r="H482" s="561">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3541</v>
      </c>
      <c r="H483" s="561">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3542</v>
      </c>
      <c r="H484" s="561">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3543</v>
      </c>
      <c r="H485" s="561">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3544</v>
      </c>
      <c r="H486" s="561">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3545</v>
      </c>
      <c r="H487" s="561">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3546</v>
      </c>
      <c r="H488" s="561">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3547</v>
      </c>
      <c r="H489" s="561">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3548</v>
      </c>
      <c r="H490" s="561">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3549</v>
      </c>
      <c r="H491" s="561">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3550</v>
      </c>
      <c r="H492" s="561">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3551</v>
      </c>
      <c r="H493" s="561">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3552</v>
      </c>
      <c r="H494" s="561">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3553</v>
      </c>
      <c r="H495" s="561">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3554</v>
      </c>
      <c r="H496" s="561">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3555</v>
      </c>
      <c r="H497" s="561">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3556</v>
      </c>
      <c r="H498" s="561">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3557</v>
      </c>
      <c r="H499" s="561">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3558</v>
      </c>
      <c r="H500" s="561">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3559</v>
      </c>
      <c r="H501" s="561">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3560</v>
      </c>
      <c r="H502" s="561">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3561</v>
      </c>
      <c r="H503" s="561">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3562</v>
      </c>
      <c r="H504" s="561">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3563</v>
      </c>
      <c r="H505" s="561">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3564</v>
      </c>
      <c r="H506" s="561">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3565</v>
      </c>
      <c r="H507" s="561">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3566</v>
      </c>
      <c r="H508" s="561">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3567</v>
      </c>
      <c r="H509" s="561">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3568</v>
      </c>
      <c r="H510" s="561">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3569</v>
      </c>
      <c r="H511" s="561">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3570</v>
      </c>
      <c r="H512" s="561">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3571</v>
      </c>
      <c r="H513" s="561">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3572</v>
      </c>
      <c r="H514" s="561">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3573</v>
      </c>
      <c r="H515" s="561">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3574</v>
      </c>
      <c r="H516" s="561">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3575</v>
      </c>
      <c r="H517" s="561">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3576</v>
      </c>
      <c r="H518" s="561">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3577</v>
      </c>
      <c r="H519" s="561">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3578</v>
      </c>
      <c r="H520" s="561">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3579</v>
      </c>
      <c r="H521" s="561">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3580</v>
      </c>
      <c r="H522" s="561">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3581</v>
      </c>
      <c r="H523" s="561">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3582</v>
      </c>
      <c r="H524" s="561">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3583</v>
      </c>
      <c r="H525" s="561">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3584</v>
      </c>
      <c r="H526" s="561">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3585</v>
      </c>
      <c r="H527" s="561">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3586</v>
      </c>
      <c r="H528" s="561">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3587</v>
      </c>
      <c r="H529" s="561">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3588</v>
      </c>
      <c r="H530" s="561">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3589</v>
      </c>
      <c r="H531" s="561">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3590</v>
      </c>
      <c r="H532" s="561">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3591</v>
      </c>
      <c r="H533" s="561">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3592</v>
      </c>
      <c r="H534" s="561">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3593</v>
      </c>
      <c r="H535" s="561">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3594</v>
      </c>
      <c r="H536" s="561">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3595</v>
      </c>
      <c r="H537" s="561">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3596</v>
      </c>
      <c r="H538" s="561">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3597</v>
      </c>
      <c r="H539" s="561">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3598</v>
      </c>
      <c r="H540" s="561">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3599</v>
      </c>
      <c r="H541" s="561">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3600</v>
      </c>
      <c r="H542" s="561">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3601</v>
      </c>
      <c r="F543">
        <v>7</v>
      </c>
      <c r="G543" t="s">
        <v>3602</v>
      </c>
      <c r="H543" s="561">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3601</v>
      </c>
      <c r="F544">
        <v>7</v>
      </c>
      <c r="G544" t="s">
        <v>3603</v>
      </c>
      <c r="H544" s="561">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3601</v>
      </c>
      <c r="F545">
        <v>7</v>
      </c>
      <c r="G545" t="s">
        <v>3604</v>
      </c>
      <c r="H545" s="561">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3601</v>
      </c>
      <c r="F546">
        <v>7</v>
      </c>
      <c r="G546" t="s">
        <v>3605</v>
      </c>
      <c r="H546" s="561">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3601</v>
      </c>
      <c r="F547">
        <v>7</v>
      </c>
      <c r="G547" t="s">
        <v>3606</v>
      </c>
      <c r="H547" s="561">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3601</v>
      </c>
      <c r="F548">
        <v>7</v>
      </c>
      <c r="G548" t="s">
        <v>3607</v>
      </c>
      <c r="H548" s="561">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3601</v>
      </c>
      <c r="F549">
        <v>7</v>
      </c>
      <c r="G549" t="s">
        <v>3608</v>
      </c>
      <c r="H549" s="561">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3601</v>
      </c>
      <c r="F550">
        <v>7</v>
      </c>
      <c r="G550" t="s">
        <v>3609</v>
      </c>
      <c r="H550" s="561">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3601</v>
      </c>
      <c r="F551">
        <v>7</v>
      </c>
      <c r="G551" t="s">
        <v>3610</v>
      </c>
      <c r="H551" s="561">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3601</v>
      </c>
      <c r="F552">
        <v>7</v>
      </c>
      <c r="G552" t="s">
        <v>3611</v>
      </c>
      <c r="H552" s="561">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3601</v>
      </c>
      <c r="F553">
        <v>7</v>
      </c>
      <c r="G553" t="s">
        <v>3612</v>
      </c>
      <c r="H553" s="561">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3601</v>
      </c>
      <c r="F554">
        <v>7</v>
      </c>
      <c r="G554" t="s">
        <v>3613</v>
      </c>
      <c r="H554" s="561">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3601</v>
      </c>
      <c r="F555">
        <v>7</v>
      </c>
      <c r="G555" t="s">
        <v>3614</v>
      </c>
      <c r="H555" s="561">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3601</v>
      </c>
      <c r="F556">
        <v>7</v>
      </c>
      <c r="G556" t="s">
        <v>3615</v>
      </c>
      <c r="H556" s="561">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3601</v>
      </c>
      <c r="F557">
        <v>7</v>
      </c>
      <c r="G557" t="s">
        <v>3616</v>
      </c>
      <c r="H557" s="561">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3601</v>
      </c>
      <c r="F558">
        <v>7</v>
      </c>
      <c r="G558" t="s">
        <v>3617</v>
      </c>
      <c r="H558" s="561">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3601</v>
      </c>
      <c r="F559">
        <v>7</v>
      </c>
      <c r="G559" t="s">
        <v>3618</v>
      </c>
      <c r="H559" s="561">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3601</v>
      </c>
      <c r="F560">
        <v>7</v>
      </c>
      <c r="G560" t="s">
        <v>3619</v>
      </c>
      <c r="H560" s="561">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3601</v>
      </c>
      <c r="F561">
        <v>7</v>
      </c>
      <c r="G561" t="s">
        <v>3620</v>
      </c>
      <c r="H561" s="561">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3601</v>
      </c>
      <c r="F562">
        <v>7</v>
      </c>
      <c r="G562" t="s">
        <v>3621</v>
      </c>
      <c r="H562" s="561">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3601</v>
      </c>
      <c r="F563">
        <v>7</v>
      </c>
      <c r="G563" t="s">
        <v>3622</v>
      </c>
      <c r="H563" s="561">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3601</v>
      </c>
      <c r="F564">
        <v>7</v>
      </c>
      <c r="G564" t="s">
        <v>3623</v>
      </c>
      <c r="H564" s="561">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3601</v>
      </c>
      <c r="F565">
        <v>7</v>
      </c>
      <c r="G565" t="s">
        <v>3624</v>
      </c>
      <c r="H565" s="561">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3601</v>
      </c>
      <c r="F566">
        <v>7</v>
      </c>
      <c r="G566" t="s">
        <v>3625</v>
      </c>
      <c r="H566" s="561">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3601</v>
      </c>
      <c r="F567">
        <v>7</v>
      </c>
      <c r="G567" t="s">
        <v>3626</v>
      </c>
      <c r="H567" s="561">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3601</v>
      </c>
      <c r="F568">
        <v>7</v>
      </c>
      <c r="G568" t="s">
        <v>3627</v>
      </c>
      <c r="H568" s="561">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3601</v>
      </c>
      <c r="F569">
        <v>7</v>
      </c>
      <c r="G569" t="s">
        <v>3628</v>
      </c>
      <c r="H569" s="561">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3601</v>
      </c>
      <c r="F570">
        <v>7</v>
      </c>
      <c r="G570" t="s">
        <v>3629</v>
      </c>
      <c r="H570" s="561">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3601</v>
      </c>
      <c r="F571">
        <v>7</v>
      </c>
      <c r="G571" t="s">
        <v>3630</v>
      </c>
      <c r="H571" s="561">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3601</v>
      </c>
      <c r="F572">
        <v>7</v>
      </c>
      <c r="G572" t="s">
        <v>3631</v>
      </c>
      <c r="H572" s="561">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3632</v>
      </c>
      <c r="H573" s="561">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3633</v>
      </c>
      <c r="H574" s="561">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3634</v>
      </c>
      <c r="H575" s="561">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3635</v>
      </c>
      <c r="H576" s="561">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3636</v>
      </c>
      <c r="H577" s="561">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3637</v>
      </c>
      <c r="H578" s="561">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3638</v>
      </c>
      <c r="H579" s="561">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3639</v>
      </c>
      <c r="H580" s="561">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3640</v>
      </c>
      <c r="H581" s="561">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3641</v>
      </c>
      <c r="H582" s="561">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3642</v>
      </c>
      <c r="H583" s="561">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3643</v>
      </c>
      <c r="H584" s="561">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3644</v>
      </c>
      <c r="H585" s="561">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3645</v>
      </c>
      <c r="H586" s="561">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3646</v>
      </c>
      <c r="H587" s="561">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3647</v>
      </c>
      <c r="H588" s="561">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3648</v>
      </c>
      <c r="H589" s="561">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3649</v>
      </c>
      <c r="H590" s="561">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3650</v>
      </c>
      <c r="H591" s="561">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3651</v>
      </c>
      <c r="H592" s="561">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3652</v>
      </c>
      <c r="H593" s="561">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3653</v>
      </c>
      <c r="H594" s="561">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3654</v>
      </c>
      <c r="H595" s="561">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3655</v>
      </c>
      <c r="H596" s="561">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3656</v>
      </c>
      <c r="H597" s="561">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3657</v>
      </c>
      <c r="H598" s="561">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3658</v>
      </c>
      <c r="H599" s="561">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3659</v>
      </c>
      <c r="H600" s="561">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3660</v>
      </c>
      <c r="H601" s="561">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3661</v>
      </c>
      <c r="H602" s="561">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3662</v>
      </c>
      <c r="H603" s="561">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3663</v>
      </c>
      <c r="H604" s="561">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3664</v>
      </c>
      <c r="H605" s="561">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3665</v>
      </c>
      <c r="H606" s="561">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3666</v>
      </c>
      <c r="H607" s="561">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3667</v>
      </c>
      <c r="H608" s="561">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3668</v>
      </c>
      <c r="H609" s="561">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3669</v>
      </c>
      <c r="H610" s="561">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3670</v>
      </c>
      <c r="H611" s="561">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3671</v>
      </c>
      <c r="H612" s="561">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3672</v>
      </c>
      <c r="H613" s="561">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3673</v>
      </c>
      <c r="H614" s="561">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3674</v>
      </c>
      <c r="H615" s="561">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3675</v>
      </c>
      <c r="H616" s="561">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3676</v>
      </c>
      <c r="H617" s="561">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3677</v>
      </c>
      <c r="H618" s="561">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3678</v>
      </c>
      <c r="H619" s="561">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3679</v>
      </c>
      <c r="H620" s="561">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3680</v>
      </c>
      <c r="H621" s="561">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3681</v>
      </c>
      <c r="H622" s="561">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3682</v>
      </c>
      <c r="H623" s="561">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3683</v>
      </c>
      <c r="H624" s="561">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3684</v>
      </c>
      <c r="H625" s="561">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3685</v>
      </c>
      <c r="H626" s="561">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3686</v>
      </c>
      <c r="H627" s="561">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3687</v>
      </c>
      <c r="H628" s="561">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3688</v>
      </c>
      <c r="H629" s="561">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3689</v>
      </c>
      <c r="H630" s="561">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3690</v>
      </c>
      <c r="H631" s="561">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3691</v>
      </c>
      <c r="H632" s="561">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3692</v>
      </c>
      <c r="H633" s="561">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3693</v>
      </c>
      <c r="H634" s="561">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3694</v>
      </c>
      <c r="H635" s="561">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3695</v>
      </c>
      <c r="H636" s="561">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3696</v>
      </c>
      <c r="H637" s="561">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3697</v>
      </c>
      <c r="H638" s="561">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3698</v>
      </c>
      <c r="H639" s="561">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3699</v>
      </c>
      <c r="H640" s="561">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3700</v>
      </c>
      <c r="H641" s="561">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3701</v>
      </c>
      <c r="H642" s="561">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3702</v>
      </c>
      <c r="H643" s="561">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3703</v>
      </c>
      <c r="H644" s="561">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3704</v>
      </c>
      <c r="H645" s="561">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3705</v>
      </c>
      <c r="H646" s="561">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3706</v>
      </c>
      <c r="H647" s="561">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3707</v>
      </c>
      <c r="H648" s="561">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3708</v>
      </c>
      <c r="H649" s="561">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3709</v>
      </c>
      <c r="H650" s="561">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3710</v>
      </c>
      <c r="H651" s="561">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3711</v>
      </c>
      <c r="H652" s="561">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3712</v>
      </c>
      <c r="H653" s="561">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3713</v>
      </c>
      <c r="H654" s="561">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3714</v>
      </c>
      <c r="H655" s="561">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3715</v>
      </c>
      <c r="H656" s="561">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3716</v>
      </c>
      <c r="H657" s="561">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3717</v>
      </c>
      <c r="H658" s="561">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3718</v>
      </c>
      <c r="H659" s="561">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3719</v>
      </c>
      <c r="H660" s="561">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3720</v>
      </c>
      <c r="H661" s="561">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3721</v>
      </c>
      <c r="H662" s="561">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3722</v>
      </c>
      <c r="F663">
        <v>8</v>
      </c>
      <c r="G663" t="s">
        <v>3723</v>
      </c>
      <c r="H663" s="561">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3722</v>
      </c>
      <c r="F664">
        <v>8</v>
      </c>
      <c r="G664" t="s">
        <v>3724</v>
      </c>
      <c r="H664" s="561">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3722</v>
      </c>
      <c r="F665">
        <v>8</v>
      </c>
      <c r="G665" t="s">
        <v>3725</v>
      </c>
      <c r="H665" s="561">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3722</v>
      </c>
      <c r="F666">
        <v>8</v>
      </c>
      <c r="G666" t="s">
        <v>3726</v>
      </c>
      <c r="H666" s="561">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3722</v>
      </c>
      <c r="F667">
        <v>8</v>
      </c>
      <c r="G667" t="s">
        <v>3727</v>
      </c>
      <c r="H667" s="561">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3722</v>
      </c>
      <c r="F668">
        <v>8</v>
      </c>
      <c r="G668" t="s">
        <v>3728</v>
      </c>
      <c r="H668" s="561">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3722</v>
      </c>
      <c r="F669">
        <v>8</v>
      </c>
      <c r="G669" t="s">
        <v>3729</v>
      </c>
      <c r="H669" s="561">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3722</v>
      </c>
      <c r="F670">
        <v>8</v>
      </c>
      <c r="G670" t="s">
        <v>3730</v>
      </c>
      <c r="H670" s="561">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3722</v>
      </c>
      <c r="F671">
        <v>8</v>
      </c>
      <c r="G671" t="s">
        <v>3731</v>
      </c>
      <c r="H671" s="561">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3722</v>
      </c>
      <c r="F672">
        <v>8</v>
      </c>
      <c r="G672" t="s">
        <v>3732</v>
      </c>
      <c r="H672" s="561">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3722</v>
      </c>
      <c r="F673">
        <v>8</v>
      </c>
      <c r="G673" t="s">
        <v>3733</v>
      </c>
      <c r="H673" s="561">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3722</v>
      </c>
      <c r="F674">
        <v>8</v>
      </c>
      <c r="G674" t="s">
        <v>3734</v>
      </c>
      <c r="H674" s="561">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3722</v>
      </c>
      <c r="F675">
        <v>8</v>
      </c>
      <c r="G675" t="s">
        <v>3735</v>
      </c>
      <c r="H675" s="561">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3722</v>
      </c>
      <c r="F676">
        <v>8</v>
      </c>
      <c r="G676" t="s">
        <v>3736</v>
      </c>
      <c r="H676" s="561">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3722</v>
      </c>
      <c r="F677">
        <v>8</v>
      </c>
      <c r="G677" t="s">
        <v>3737</v>
      </c>
      <c r="H677" s="561">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3722</v>
      </c>
      <c r="F678">
        <v>8</v>
      </c>
      <c r="G678" t="s">
        <v>3738</v>
      </c>
      <c r="H678" s="561">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3722</v>
      </c>
      <c r="F679">
        <v>8</v>
      </c>
      <c r="G679" t="s">
        <v>3739</v>
      </c>
      <c r="H679" s="561">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3722</v>
      </c>
      <c r="F680">
        <v>8</v>
      </c>
      <c r="G680" t="s">
        <v>3740</v>
      </c>
      <c r="H680" s="561">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3722</v>
      </c>
      <c r="F681">
        <v>8</v>
      </c>
      <c r="G681" t="s">
        <v>3741</v>
      </c>
      <c r="H681" s="561">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3722</v>
      </c>
      <c r="F682">
        <v>8</v>
      </c>
      <c r="G682" t="s">
        <v>3742</v>
      </c>
      <c r="H682" s="561">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3722</v>
      </c>
      <c r="F683">
        <v>8</v>
      </c>
      <c r="G683" t="s">
        <v>3743</v>
      </c>
      <c r="H683" s="561">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3722</v>
      </c>
      <c r="F684">
        <v>8</v>
      </c>
      <c r="G684" t="s">
        <v>3744</v>
      </c>
      <c r="H684" s="561">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3722</v>
      </c>
      <c r="F685">
        <v>8</v>
      </c>
      <c r="G685" t="s">
        <v>3745</v>
      </c>
      <c r="H685" s="561">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3722</v>
      </c>
      <c r="F686">
        <v>8</v>
      </c>
      <c r="G686" t="s">
        <v>3746</v>
      </c>
      <c r="H686" s="561">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3722</v>
      </c>
      <c r="F687">
        <v>8</v>
      </c>
      <c r="G687" t="s">
        <v>3747</v>
      </c>
      <c r="H687" s="561">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3722</v>
      </c>
      <c r="F688">
        <v>8</v>
      </c>
      <c r="G688" t="s">
        <v>3748</v>
      </c>
      <c r="H688" s="561">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3722</v>
      </c>
      <c r="F689">
        <v>8</v>
      </c>
      <c r="G689" t="s">
        <v>3749</v>
      </c>
      <c r="H689" s="561">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3722</v>
      </c>
      <c r="F690">
        <v>8</v>
      </c>
      <c r="G690" t="s">
        <v>3750</v>
      </c>
      <c r="H690" s="561">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3722</v>
      </c>
      <c r="F691">
        <v>8</v>
      </c>
      <c r="G691" t="s">
        <v>3751</v>
      </c>
      <c r="H691" s="561">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3722</v>
      </c>
      <c r="F692">
        <v>8</v>
      </c>
      <c r="G692" t="s">
        <v>3752</v>
      </c>
      <c r="H692" s="561">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3601</v>
      </c>
      <c r="F693">
        <v>8</v>
      </c>
      <c r="G693" t="s">
        <v>3753</v>
      </c>
      <c r="H693" s="561">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3601</v>
      </c>
      <c r="F694">
        <v>8</v>
      </c>
      <c r="G694" t="s">
        <v>3754</v>
      </c>
      <c r="H694" s="561">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3601</v>
      </c>
      <c r="F695">
        <v>8</v>
      </c>
      <c r="G695" t="s">
        <v>3755</v>
      </c>
      <c r="H695" s="561">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3601</v>
      </c>
      <c r="F696">
        <v>8</v>
      </c>
      <c r="G696" t="s">
        <v>3756</v>
      </c>
      <c r="H696" s="561">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3601</v>
      </c>
      <c r="F697">
        <v>8</v>
      </c>
      <c r="G697" t="s">
        <v>3757</v>
      </c>
      <c r="H697" s="561">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3601</v>
      </c>
      <c r="F698">
        <v>8</v>
      </c>
      <c r="G698" t="s">
        <v>3758</v>
      </c>
      <c r="H698" s="561">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3601</v>
      </c>
      <c r="F699">
        <v>8</v>
      </c>
      <c r="G699" t="s">
        <v>3759</v>
      </c>
      <c r="H699" s="561">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3601</v>
      </c>
      <c r="F700">
        <v>8</v>
      </c>
      <c r="G700" t="s">
        <v>3760</v>
      </c>
      <c r="H700" s="561">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3601</v>
      </c>
      <c r="F701">
        <v>8</v>
      </c>
      <c r="G701" t="s">
        <v>3761</v>
      </c>
      <c r="H701" s="561">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3601</v>
      </c>
      <c r="F702">
        <v>8</v>
      </c>
      <c r="G702" t="s">
        <v>3762</v>
      </c>
      <c r="H702" s="561">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3601</v>
      </c>
      <c r="F703">
        <v>8</v>
      </c>
      <c r="G703" t="s">
        <v>3763</v>
      </c>
      <c r="H703" s="561">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3601</v>
      </c>
      <c r="F704">
        <v>8</v>
      </c>
      <c r="G704" t="s">
        <v>3764</v>
      </c>
      <c r="H704" s="561">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3601</v>
      </c>
      <c r="F705">
        <v>8</v>
      </c>
      <c r="G705" t="s">
        <v>3765</v>
      </c>
      <c r="H705" s="561">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3601</v>
      </c>
      <c r="F706">
        <v>8</v>
      </c>
      <c r="G706" t="s">
        <v>3766</v>
      </c>
      <c r="H706" s="561">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3601</v>
      </c>
      <c r="F707">
        <v>8</v>
      </c>
      <c r="G707" t="s">
        <v>3767</v>
      </c>
      <c r="H707" s="561">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3601</v>
      </c>
      <c r="F708">
        <v>8</v>
      </c>
      <c r="G708" t="s">
        <v>3768</v>
      </c>
      <c r="H708" s="561">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3601</v>
      </c>
      <c r="F709">
        <v>8</v>
      </c>
      <c r="G709" t="s">
        <v>3769</v>
      </c>
      <c r="H709" s="561">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3601</v>
      </c>
      <c r="F710">
        <v>8</v>
      </c>
      <c r="G710" t="s">
        <v>3770</v>
      </c>
      <c r="H710" s="561">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3601</v>
      </c>
      <c r="F711">
        <v>8</v>
      </c>
      <c r="G711" t="s">
        <v>3771</v>
      </c>
      <c r="H711" s="561">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3601</v>
      </c>
      <c r="F712">
        <v>8</v>
      </c>
      <c r="G712" t="s">
        <v>3772</v>
      </c>
      <c r="H712" s="561">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3601</v>
      </c>
      <c r="F713">
        <v>8</v>
      </c>
      <c r="G713" t="s">
        <v>3773</v>
      </c>
      <c r="H713" s="561">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3601</v>
      </c>
      <c r="F714">
        <v>8</v>
      </c>
      <c r="G714" t="s">
        <v>3774</v>
      </c>
      <c r="H714" s="561">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3601</v>
      </c>
      <c r="F715">
        <v>8</v>
      </c>
      <c r="G715" t="s">
        <v>3775</v>
      </c>
      <c r="H715" s="561">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3601</v>
      </c>
      <c r="F716">
        <v>8</v>
      </c>
      <c r="G716" t="s">
        <v>3776</v>
      </c>
      <c r="H716" s="561">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3601</v>
      </c>
      <c r="F717">
        <v>8</v>
      </c>
      <c r="G717" t="s">
        <v>3777</v>
      </c>
      <c r="H717" s="561">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3601</v>
      </c>
      <c r="F718">
        <v>8</v>
      </c>
      <c r="G718" t="s">
        <v>3778</v>
      </c>
      <c r="H718" s="561">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3601</v>
      </c>
      <c r="F719">
        <v>8</v>
      </c>
      <c r="G719" t="s">
        <v>3779</v>
      </c>
      <c r="H719" s="561">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3601</v>
      </c>
      <c r="F720">
        <v>8</v>
      </c>
      <c r="G720" t="s">
        <v>3780</v>
      </c>
      <c r="H720" s="561">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3601</v>
      </c>
      <c r="F721">
        <v>8</v>
      </c>
      <c r="G721" t="s">
        <v>3781</v>
      </c>
      <c r="H721" s="561">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3601</v>
      </c>
      <c r="F722">
        <v>8</v>
      </c>
      <c r="G722" t="s">
        <v>3782</v>
      </c>
      <c r="H722" s="561">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3601</v>
      </c>
      <c r="F723">
        <v>8</v>
      </c>
      <c r="G723" t="s">
        <v>3783</v>
      </c>
      <c r="H723" s="561">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3601</v>
      </c>
      <c r="F724">
        <v>8</v>
      </c>
      <c r="G724" t="s">
        <v>3784</v>
      </c>
      <c r="H724" s="561">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3601</v>
      </c>
      <c r="F725">
        <v>8</v>
      </c>
      <c r="G725" t="s">
        <v>3785</v>
      </c>
      <c r="H725" s="561">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3601</v>
      </c>
      <c r="F726">
        <v>8</v>
      </c>
      <c r="G726" t="s">
        <v>3786</v>
      </c>
      <c r="H726" s="561">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3601</v>
      </c>
      <c r="F727">
        <v>8</v>
      </c>
      <c r="G727" t="s">
        <v>3787</v>
      </c>
      <c r="H727" s="561">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3601</v>
      </c>
      <c r="F728">
        <v>8</v>
      </c>
      <c r="G728" t="s">
        <v>3788</v>
      </c>
      <c r="H728" s="561">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3601</v>
      </c>
      <c r="F729">
        <v>8</v>
      </c>
      <c r="G729" t="s">
        <v>3789</v>
      </c>
      <c r="H729" s="561">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3601</v>
      </c>
      <c r="F730">
        <v>8</v>
      </c>
      <c r="G730" t="s">
        <v>3790</v>
      </c>
      <c r="H730" s="561">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3601</v>
      </c>
      <c r="F731">
        <v>8</v>
      </c>
      <c r="G731" t="s">
        <v>3791</v>
      </c>
      <c r="H731" s="561">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3601</v>
      </c>
      <c r="F732">
        <v>8</v>
      </c>
      <c r="G732" t="s">
        <v>3792</v>
      </c>
      <c r="H732" s="561">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3601</v>
      </c>
      <c r="F733">
        <v>8</v>
      </c>
      <c r="G733" t="s">
        <v>3793</v>
      </c>
      <c r="H733" s="561">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3601</v>
      </c>
      <c r="F734">
        <v>8</v>
      </c>
      <c r="G734" t="s">
        <v>3794</v>
      </c>
      <c r="H734" s="561">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3601</v>
      </c>
      <c r="F735">
        <v>8</v>
      </c>
      <c r="G735" t="s">
        <v>3795</v>
      </c>
      <c r="H735" s="561">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3601</v>
      </c>
      <c r="F736">
        <v>8</v>
      </c>
      <c r="G736" t="s">
        <v>3796</v>
      </c>
      <c r="H736" s="561">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3601</v>
      </c>
      <c r="F737">
        <v>8</v>
      </c>
      <c r="G737" t="s">
        <v>3797</v>
      </c>
      <c r="H737" s="561">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3601</v>
      </c>
      <c r="F738">
        <v>8</v>
      </c>
      <c r="G738" t="s">
        <v>3798</v>
      </c>
      <c r="H738" s="561">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3601</v>
      </c>
      <c r="F739">
        <v>8</v>
      </c>
      <c r="G739" t="s">
        <v>3799</v>
      </c>
      <c r="H739" s="561">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3601</v>
      </c>
      <c r="F740">
        <v>8</v>
      </c>
      <c r="G740" t="s">
        <v>3800</v>
      </c>
      <c r="H740" s="561">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3601</v>
      </c>
      <c r="F741">
        <v>8</v>
      </c>
      <c r="G741" t="s">
        <v>3801</v>
      </c>
      <c r="H741" s="561">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3601</v>
      </c>
      <c r="F742">
        <v>8</v>
      </c>
      <c r="G742" t="s">
        <v>3802</v>
      </c>
      <c r="H742" s="561">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3601</v>
      </c>
      <c r="F743">
        <v>8</v>
      </c>
      <c r="G743" t="s">
        <v>3803</v>
      </c>
      <c r="H743" s="561">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3601</v>
      </c>
      <c r="F744">
        <v>8</v>
      </c>
      <c r="G744" t="s">
        <v>3804</v>
      </c>
      <c r="H744" s="561">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3601</v>
      </c>
      <c r="F745">
        <v>8</v>
      </c>
      <c r="G745" t="s">
        <v>3805</v>
      </c>
      <c r="H745" s="561">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3601</v>
      </c>
      <c r="F746">
        <v>8</v>
      </c>
      <c r="G746" t="s">
        <v>3806</v>
      </c>
      <c r="H746" s="561">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3601</v>
      </c>
      <c r="F747">
        <v>8</v>
      </c>
      <c r="G747" t="s">
        <v>3807</v>
      </c>
      <c r="H747" s="561">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3601</v>
      </c>
      <c r="F748">
        <v>8</v>
      </c>
      <c r="G748" t="s">
        <v>3808</v>
      </c>
      <c r="H748" s="561">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3601</v>
      </c>
      <c r="F749">
        <v>8</v>
      </c>
      <c r="G749" t="s">
        <v>3809</v>
      </c>
      <c r="H749" s="561">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3601</v>
      </c>
      <c r="F750">
        <v>8</v>
      </c>
      <c r="G750" t="s">
        <v>3810</v>
      </c>
      <c r="H750" s="561">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3601</v>
      </c>
      <c r="F751">
        <v>8</v>
      </c>
      <c r="G751" t="s">
        <v>3811</v>
      </c>
      <c r="H751" s="561">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3601</v>
      </c>
      <c r="F752">
        <v>8</v>
      </c>
      <c r="G752" t="s">
        <v>3812</v>
      </c>
      <c r="H752" s="561">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3813</v>
      </c>
      <c r="F753">
        <v>8</v>
      </c>
      <c r="G753" t="s">
        <v>3814</v>
      </c>
      <c r="H753" s="561">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3813</v>
      </c>
      <c r="F754">
        <v>8</v>
      </c>
      <c r="G754" t="s">
        <v>3815</v>
      </c>
      <c r="H754" s="561">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3813</v>
      </c>
      <c r="F755">
        <v>8</v>
      </c>
      <c r="G755" t="s">
        <v>3816</v>
      </c>
      <c r="H755" s="561">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3813</v>
      </c>
      <c r="F756">
        <v>8</v>
      </c>
      <c r="G756" t="s">
        <v>3817</v>
      </c>
      <c r="H756" s="561">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3813</v>
      </c>
      <c r="F757">
        <v>8</v>
      </c>
      <c r="G757" t="s">
        <v>3818</v>
      </c>
      <c r="H757" s="561">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3813</v>
      </c>
      <c r="F758">
        <v>8</v>
      </c>
      <c r="G758" t="s">
        <v>3819</v>
      </c>
      <c r="H758" s="561">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3813</v>
      </c>
      <c r="F759">
        <v>8</v>
      </c>
      <c r="G759" t="s">
        <v>3820</v>
      </c>
      <c r="H759" s="561">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3813</v>
      </c>
      <c r="F760">
        <v>8</v>
      </c>
      <c r="G760" t="s">
        <v>3821</v>
      </c>
      <c r="H760" s="561">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3813</v>
      </c>
      <c r="F761">
        <v>8</v>
      </c>
      <c r="G761" t="s">
        <v>3822</v>
      </c>
      <c r="H761" s="561">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3813</v>
      </c>
      <c r="F762">
        <v>8</v>
      </c>
      <c r="G762" t="s">
        <v>3823</v>
      </c>
      <c r="H762" s="561">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3813</v>
      </c>
      <c r="F763">
        <v>8</v>
      </c>
      <c r="G763" t="s">
        <v>3824</v>
      </c>
      <c r="H763" s="561">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3813</v>
      </c>
      <c r="F764">
        <v>8</v>
      </c>
      <c r="G764" t="s">
        <v>3825</v>
      </c>
      <c r="H764" s="561">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3813</v>
      </c>
      <c r="F765">
        <v>8</v>
      </c>
      <c r="G765" t="s">
        <v>3826</v>
      </c>
      <c r="H765" s="561">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3813</v>
      </c>
      <c r="F766">
        <v>8</v>
      </c>
      <c r="G766" t="s">
        <v>3827</v>
      </c>
      <c r="H766" s="561">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3813</v>
      </c>
      <c r="F767">
        <v>8</v>
      </c>
      <c r="G767" t="s">
        <v>3828</v>
      </c>
      <c r="H767" s="561">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3813</v>
      </c>
      <c r="F768">
        <v>8</v>
      </c>
      <c r="G768" t="s">
        <v>3829</v>
      </c>
      <c r="H768" s="561">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3813</v>
      </c>
      <c r="F769">
        <v>8</v>
      </c>
      <c r="G769" t="s">
        <v>3830</v>
      </c>
      <c r="H769" s="561">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3813</v>
      </c>
      <c r="F770">
        <v>8</v>
      </c>
      <c r="G770" t="s">
        <v>3831</v>
      </c>
      <c r="H770" s="561">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3813</v>
      </c>
      <c r="F771">
        <v>8</v>
      </c>
      <c r="G771" t="s">
        <v>3832</v>
      </c>
      <c r="H771" s="561">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3813</v>
      </c>
      <c r="F772">
        <v>8</v>
      </c>
      <c r="G772" t="s">
        <v>3833</v>
      </c>
      <c r="H772" s="561">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3813</v>
      </c>
      <c r="F773">
        <v>8</v>
      </c>
      <c r="G773" t="s">
        <v>3834</v>
      </c>
      <c r="H773" s="561">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3813</v>
      </c>
      <c r="F774">
        <v>8</v>
      </c>
      <c r="G774" t="s">
        <v>3835</v>
      </c>
      <c r="H774" s="561">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3813</v>
      </c>
      <c r="F775">
        <v>8</v>
      </c>
      <c r="G775" t="s">
        <v>3836</v>
      </c>
      <c r="H775" s="561">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3813</v>
      </c>
      <c r="F776">
        <v>8</v>
      </c>
      <c r="G776" t="s">
        <v>3837</v>
      </c>
      <c r="H776" s="561">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3813</v>
      </c>
      <c r="F777">
        <v>8</v>
      </c>
      <c r="G777" t="s">
        <v>3838</v>
      </c>
      <c r="H777" s="561">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3813</v>
      </c>
      <c r="F778">
        <v>8</v>
      </c>
      <c r="G778" t="s">
        <v>3839</v>
      </c>
      <c r="H778" s="561">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3813</v>
      </c>
      <c r="F779">
        <v>8</v>
      </c>
      <c r="G779" t="s">
        <v>3840</v>
      </c>
      <c r="H779" s="561">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3813</v>
      </c>
      <c r="F780">
        <v>8</v>
      </c>
      <c r="G780" t="s">
        <v>3841</v>
      </c>
      <c r="H780" s="561">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3813</v>
      </c>
      <c r="F781">
        <v>8</v>
      </c>
      <c r="G781" t="s">
        <v>3842</v>
      </c>
      <c r="H781" s="561">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3813</v>
      </c>
      <c r="F782">
        <v>8</v>
      </c>
      <c r="G782" t="s">
        <v>3843</v>
      </c>
      <c r="H782" s="561">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3813</v>
      </c>
      <c r="F783">
        <v>8</v>
      </c>
      <c r="G783" t="s">
        <v>3844</v>
      </c>
      <c r="H783" s="561">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3813</v>
      </c>
      <c r="F784">
        <v>8</v>
      </c>
      <c r="G784" t="s">
        <v>3845</v>
      </c>
      <c r="H784" s="561">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3813</v>
      </c>
      <c r="F785">
        <v>8</v>
      </c>
      <c r="G785" t="s">
        <v>3846</v>
      </c>
      <c r="H785" s="561">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3813</v>
      </c>
      <c r="F786">
        <v>8</v>
      </c>
      <c r="G786" t="s">
        <v>3847</v>
      </c>
      <c r="H786" s="561">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3813</v>
      </c>
      <c r="F787">
        <v>8</v>
      </c>
      <c r="G787" t="s">
        <v>3848</v>
      </c>
      <c r="H787" s="561">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3813</v>
      </c>
      <c r="F788">
        <v>8</v>
      </c>
      <c r="G788" t="s">
        <v>3849</v>
      </c>
      <c r="H788" s="561">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3813</v>
      </c>
      <c r="F789">
        <v>8</v>
      </c>
      <c r="G789" t="s">
        <v>3850</v>
      </c>
      <c r="H789" s="561">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3813</v>
      </c>
      <c r="F790">
        <v>8</v>
      </c>
      <c r="G790" t="s">
        <v>3851</v>
      </c>
      <c r="H790" s="561">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3813</v>
      </c>
      <c r="F791">
        <v>8</v>
      </c>
      <c r="G791" t="s">
        <v>3852</v>
      </c>
      <c r="H791" s="561">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3813</v>
      </c>
      <c r="F792">
        <v>8</v>
      </c>
      <c r="G792" t="s">
        <v>3853</v>
      </c>
      <c r="H792" s="561">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3813</v>
      </c>
      <c r="F793">
        <v>8</v>
      </c>
      <c r="G793" t="s">
        <v>3854</v>
      </c>
      <c r="H793" s="561">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3813</v>
      </c>
      <c r="F794">
        <v>8</v>
      </c>
      <c r="G794" t="s">
        <v>3855</v>
      </c>
      <c r="H794" s="561">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3813</v>
      </c>
      <c r="F795">
        <v>8</v>
      </c>
      <c r="G795" t="s">
        <v>3856</v>
      </c>
      <c r="H795" s="561">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3813</v>
      </c>
      <c r="F796">
        <v>8</v>
      </c>
      <c r="G796" t="s">
        <v>3857</v>
      </c>
      <c r="H796" s="561">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3813</v>
      </c>
      <c r="F797">
        <v>8</v>
      </c>
      <c r="G797" t="s">
        <v>3858</v>
      </c>
      <c r="H797" s="561">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3813</v>
      </c>
      <c r="F798">
        <v>8</v>
      </c>
      <c r="G798" t="s">
        <v>3859</v>
      </c>
      <c r="H798" s="561">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3813</v>
      </c>
      <c r="F799">
        <v>8</v>
      </c>
      <c r="G799" t="s">
        <v>3860</v>
      </c>
      <c r="H799" s="561">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3813</v>
      </c>
      <c r="F800">
        <v>8</v>
      </c>
      <c r="G800" t="s">
        <v>3861</v>
      </c>
      <c r="H800" s="561">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3813</v>
      </c>
      <c r="F801">
        <v>8</v>
      </c>
      <c r="G801" t="s">
        <v>3862</v>
      </c>
      <c r="H801" s="561">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3813</v>
      </c>
      <c r="F802">
        <v>8</v>
      </c>
      <c r="G802" t="s">
        <v>3863</v>
      </c>
      <c r="H802" s="561">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3813</v>
      </c>
      <c r="F803">
        <v>8</v>
      </c>
      <c r="G803" t="s">
        <v>3864</v>
      </c>
      <c r="H803" s="561">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3813</v>
      </c>
      <c r="F804">
        <v>8</v>
      </c>
      <c r="G804" t="s">
        <v>3865</v>
      </c>
      <c r="H804" s="561">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3813</v>
      </c>
      <c r="F805">
        <v>8</v>
      </c>
      <c r="G805" t="s">
        <v>3866</v>
      </c>
      <c r="H805" s="561">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3813</v>
      </c>
      <c r="F806">
        <v>8</v>
      </c>
      <c r="G806" t="s">
        <v>3867</v>
      </c>
      <c r="H806" s="561">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3813</v>
      </c>
      <c r="F807">
        <v>8</v>
      </c>
      <c r="G807" t="s">
        <v>3868</v>
      </c>
      <c r="H807" s="561">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3813</v>
      </c>
      <c r="F808">
        <v>8</v>
      </c>
      <c r="G808" t="s">
        <v>3869</v>
      </c>
      <c r="H808" s="561">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3813</v>
      </c>
      <c r="F809">
        <v>8</v>
      </c>
      <c r="G809" t="s">
        <v>3870</v>
      </c>
      <c r="H809" s="561">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3813</v>
      </c>
      <c r="F810">
        <v>8</v>
      </c>
      <c r="G810" t="s">
        <v>3871</v>
      </c>
      <c r="H810" s="561">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3813</v>
      </c>
      <c r="F811">
        <v>8</v>
      </c>
      <c r="G811" t="s">
        <v>3872</v>
      </c>
      <c r="H811" s="561">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3813</v>
      </c>
      <c r="F812">
        <v>8</v>
      </c>
      <c r="G812" t="s">
        <v>3873</v>
      </c>
      <c r="H812" s="561">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3813</v>
      </c>
      <c r="F813">
        <v>8</v>
      </c>
      <c r="G813" t="s">
        <v>3874</v>
      </c>
      <c r="H813" s="561">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3813</v>
      </c>
      <c r="F814">
        <v>8</v>
      </c>
      <c r="G814" t="s">
        <v>3875</v>
      </c>
      <c r="H814" s="561">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3813</v>
      </c>
      <c r="F815">
        <v>8</v>
      </c>
      <c r="G815" t="s">
        <v>3876</v>
      </c>
      <c r="H815" s="561">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3813</v>
      </c>
      <c r="F816">
        <v>8</v>
      </c>
      <c r="G816" t="s">
        <v>3877</v>
      </c>
      <c r="H816" s="561">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3813</v>
      </c>
      <c r="F817">
        <v>8</v>
      </c>
      <c r="G817" t="s">
        <v>3878</v>
      </c>
      <c r="H817" s="561">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3813</v>
      </c>
      <c r="F818">
        <v>8</v>
      </c>
      <c r="G818" t="s">
        <v>3879</v>
      </c>
      <c r="H818" s="561">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3813</v>
      </c>
      <c r="F819">
        <v>8</v>
      </c>
      <c r="G819" t="s">
        <v>3880</v>
      </c>
      <c r="H819" s="561">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3813</v>
      </c>
      <c r="F820">
        <v>8</v>
      </c>
      <c r="G820" t="s">
        <v>3881</v>
      </c>
      <c r="H820" s="561">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3813</v>
      </c>
      <c r="F821">
        <v>8</v>
      </c>
      <c r="G821" t="s">
        <v>3882</v>
      </c>
      <c r="H821" s="561">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3813</v>
      </c>
      <c r="F822">
        <v>8</v>
      </c>
      <c r="G822" t="s">
        <v>3883</v>
      </c>
      <c r="H822" s="561">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3813</v>
      </c>
      <c r="F823">
        <v>8</v>
      </c>
      <c r="G823" t="s">
        <v>3884</v>
      </c>
      <c r="H823" s="561">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3813</v>
      </c>
      <c r="F824">
        <v>8</v>
      </c>
      <c r="G824" t="s">
        <v>3885</v>
      </c>
      <c r="H824" s="561">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3813</v>
      </c>
      <c r="F825">
        <v>8</v>
      </c>
      <c r="G825" t="s">
        <v>3886</v>
      </c>
      <c r="H825" s="561">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3813</v>
      </c>
      <c r="F826">
        <v>8</v>
      </c>
      <c r="G826" t="s">
        <v>3887</v>
      </c>
      <c r="H826" s="561">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3813</v>
      </c>
      <c r="F827">
        <v>8</v>
      </c>
      <c r="G827" t="s">
        <v>3888</v>
      </c>
      <c r="H827" s="561">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3813</v>
      </c>
      <c r="F828">
        <v>8</v>
      </c>
      <c r="G828" t="s">
        <v>3889</v>
      </c>
      <c r="H828" s="561">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3813</v>
      </c>
      <c r="F829">
        <v>8</v>
      </c>
      <c r="G829" t="s">
        <v>3890</v>
      </c>
      <c r="H829" s="561">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3813</v>
      </c>
      <c r="F830">
        <v>8</v>
      </c>
      <c r="G830" t="s">
        <v>3891</v>
      </c>
      <c r="H830" s="561">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3813</v>
      </c>
      <c r="F831">
        <v>8</v>
      </c>
      <c r="G831" t="s">
        <v>3892</v>
      </c>
      <c r="H831" s="561">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3813</v>
      </c>
      <c r="F832">
        <v>8</v>
      </c>
      <c r="G832" t="s">
        <v>3893</v>
      </c>
      <c r="H832" s="561">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3813</v>
      </c>
      <c r="F833">
        <v>8</v>
      </c>
      <c r="G833" t="s">
        <v>3894</v>
      </c>
      <c r="H833" s="561">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3813</v>
      </c>
      <c r="F834">
        <v>8</v>
      </c>
      <c r="G834" t="s">
        <v>3895</v>
      </c>
      <c r="H834" s="561">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3813</v>
      </c>
      <c r="F835">
        <v>8</v>
      </c>
      <c r="G835" t="s">
        <v>3896</v>
      </c>
      <c r="H835" s="561">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3813</v>
      </c>
      <c r="F836">
        <v>8</v>
      </c>
      <c r="G836" t="s">
        <v>3897</v>
      </c>
      <c r="H836" s="561">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3813</v>
      </c>
      <c r="F837">
        <v>8</v>
      </c>
      <c r="G837" t="s">
        <v>3898</v>
      </c>
      <c r="H837" s="561">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3813</v>
      </c>
      <c r="F838">
        <v>8</v>
      </c>
      <c r="G838" t="s">
        <v>3899</v>
      </c>
      <c r="H838" s="561">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3813</v>
      </c>
      <c r="F839">
        <v>8</v>
      </c>
      <c r="G839" t="s">
        <v>3900</v>
      </c>
      <c r="H839" s="561">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3813</v>
      </c>
      <c r="F840">
        <v>8</v>
      </c>
      <c r="G840" t="s">
        <v>3901</v>
      </c>
      <c r="H840" s="561">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3813</v>
      </c>
      <c r="F841">
        <v>8</v>
      </c>
      <c r="G841" t="s">
        <v>3902</v>
      </c>
      <c r="H841" s="561">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3813</v>
      </c>
      <c r="F842">
        <v>8</v>
      </c>
      <c r="G842" t="s">
        <v>3903</v>
      </c>
      <c r="H842" s="561">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3601</v>
      </c>
      <c r="F843">
        <v>8</v>
      </c>
      <c r="G843" t="s">
        <v>3904</v>
      </c>
      <c r="H843" s="561">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3601</v>
      </c>
      <c r="F844">
        <v>8</v>
      </c>
      <c r="G844" t="s">
        <v>3905</v>
      </c>
      <c r="H844" s="561">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3601</v>
      </c>
      <c r="F845">
        <v>8</v>
      </c>
      <c r="G845" t="s">
        <v>3906</v>
      </c>
      <c r="H845" s="561">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3601</v>
      </c>
      <c r="F846">
        <v>8</v>
      </c>
      <c r="G846" t="s">
        <v>3907</v>
      </c>
      <c r="H846" s="561">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3601</v>
      </c>
      <c r="F847">
        <v>8</v>
      </c>
      <c r="G847" t="s">
        <v>3908</v>
      </c>
      <c r="H847" s="561">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3601</v>
      </c>
      <c r="F848">
        <v>8</v>
      </c>
      <c r="G848" t="s">
        <v>3909</v>
      </c>
      <c r="H848" s="561">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3601</v>
      </c>
      <c r="F849">
        <v>8</v>
      </c>
      <c r="G849" t="s">
        <v>3910</v>
      </c>
      <c r="H849" s="561">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3601</v>
      </c>
      <c r="F850">
        <v>8</v>
      </c>
      <c r="G850" t="s">
        <v>3911</v>
      </c>
      <c r="H850" s="561">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3601</v>
      </c>
      <c r="F851">
        <v>8</v>
      </c>
      <c r="G851" t="s">
        <v>3912</v>
      </c>
      <c r="H851" s="561">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3601</v>
      </c>
      <c r="F852">
        <v>8</v>
      </c>
      <c r="G852" t="s">
        <v>3913</v>
      </c>
      <c r="H852" s="561">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3601</v>
      </c>
      <c r="F853">
        <v>8</v>
      </c>
      <c r="G853" t="s">
        <v>3914</v>
      </c>
      <c r="H853" s="561">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3601</v>
      </c>
      <c r="F854">
        <v>8</v>
      </c>
      <c r="G854" t="s">
        <v>3915</v>
      </c>
      <c r="H854" s="561">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3601</v>
      </c>
      <c r="F855">
        <v>8</v>
      </c>
      <c r="G855" t="s">
        <v>3916</v>
      </c>
      <c r="H855" s="561">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3601</v>
      </c>
      <c r="F856">
        <v>8</v>
      </c>
      <c r="G856" t="s">
        <v>3917</v>
      </c>
      <c r="H856" s="561">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3601</v>
      </c>
      <c r="F857">
        <v>8</v>
      </c>
      <c r="G857" t="s">
        <v>3918</v>
      </c>
      <c r="H857" s="561">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3601</v>
      </c>
      <c r="F858">
        <v>8</v>
      </c>
      <c r="G858" t="s">
        <v>3919</v>
      </c>
      <c r="H858" s="561">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3601</v>
      </c>
      <c r="F859">
        <v>8</v>
      </c>
      <c r="G859" t="s">
        <v>3920</v>
      </c>
      <c r="H859" s="561">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3601</v>
      </c>
      <c r="F860">
        <v>8</v>
      </c>
      <c r="G860" t="s">
        <v>3921</v>
      </c>
      <c r="H860" s="561">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3601</v>
      </c>
      <c r="F861">
        <v>8</v>
      </c>
      <c r="G861" t="s">
        <v>3922</v>
      </c>
      <c r="H861" s="561">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3601</v>
      </c>
      <c r="F862">
        <v>8</v>
      </c>
      <c r="G862" t="s">
        <v>3923</v>
      </c>
      <c r="H862" s="561">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3601</v>
      </c>
      <c r="F863">
        <v>8</v>
      </c>
      <c r="G863" t="s">
        <v>3924</v>
      </c>
      <c r="H863" s="561">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3601</v>
      </c>
      <c r="F864">
        <v>8</v>
      </c>
      <c r="G864" t="s">
        <v>3925</v>
      </c>
      <c r="H864" s="561">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3601</v>
      </c>
      <c r="F865">
        <v>8</v>
      </c>
      <c r="G865" t="s">
        <v>3926</v>
      </c>
      <c r="H865" s="561">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3601</v>
      </c>
      <c r="F866">
        <v>8</v>
      </c>
      <c r="G866" t="s">
        <v>3927</v>
      </c>
      <c r="H866" s="561">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3601</v>
      </c>
      <c r="F867">
        <v>8</v>
      </c>
      <c r="G867" t="s">
        <v>3928</v>
      </c>
      <c r="H867" s="561">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3601</v>
      </c>
      <c r="F868">
        <v>8</v>
      </c>
      <c r="G868" t="s">
        <v>3929</v>
      </c>
      <c r="H868" s="561">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3601</v>
      </c>
      <c r="F869">
        <v>8</v>
      </c>
      <c r="G869" t="s">
        <v>3930</v>
      </c>
      <c r="H869" s="561">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3601</v>
      </c>
      <c r="F870">
        <v>8</v>
      </c>
      <c r="G870" t="s">
        <v>3931</v>
      </c>
      <c r="H870" s="561">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3601</v>
      </c>
      <c r="F871">
        <v>8</v>
      </c>
      <c r="G871" t="s">
        <v>3932</v>
      </c>
      <c r="H871" s="561">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3601</v>
      </c>
      <c r="F872">
        <v>8</v>
      </c>
      <c r="G872" t="s">
        <v>3933</v>
      </c>
      <c r="H872" s="561">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4206</v>
      </c>
    </row>
    <row r="2" spans="1:148" ht="15.75" x14ac:dyDescent="0.25">
      <c r="A2" s="159" t="s">
        <v>4200</v>
      </c>
    </row>
    <row r="3" spans="1:148" x14ac:dyDescent="0.25">
      <c r="A3" s="284" t="s">
        <v>225</v>
      </c>
      <c r="B3" s="404" t="s">
        <v>2221</v>
      </c>
      <c r="C3" s="284" t="s">
        <v>108</v>
      </c>
      <c r="D3" s="284" t="s">
        <v>4090</v>
      </c>
      <c r="E3" s="284" t="s">
        <v>4091</v>
      </c>
      <c r="F3" s="284" t="s">
        <v>4092</v>
      </c>
      <c r="G3" s="284" t="s">
        <v>4093</v>
      </c>
      <c r="H3" s="284" t="s">
        <v>4094</v>
      </c>
      <c r="I3" s="284" t="s">
        <v>4095</v>
      </c>
      <c r="J3" s="284" t="s">
        <v>2821</v>
      </c>
      <c r="K3" s="284" t="s">
        <v>4096</v>
      </c>
      <c r="L3" s="284" t="s">
        <v>4097</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2249</v>
      </c>
      <c r="AB3" s="284" t="s">
        <v>4098</v>
      </c>
      <c r="AC3" s="284" t="s">
        <v>239</v>
      </c>
      <c r="AD3" s="284" t="s">
        <v>4099</v>
      </c>
      <c r="AE3" s="284" t="s">
        <v>239</v>
      </c>
      <c r="AF3" s="284" t="s">
        <v>4100</v>
      </c>
      <c r="AG3" s="284" t="s">
        <v>239</v>
      </c>
      <c r="AH3" s="284" t="s">
        <v>4101</v>
      </c>
      <c r="AI3" s="284" t="s">
        <v>239</v>
      </c>
      <c r="AJ3" s="284" t="s">
        <v>4102</v>
      </c>
      <c r="AK3" s="284" t="s">
        <v>239</v>
      </c>
      <c r="AL3" s="284" t="s">
        <v>4103</v>
      </c>
      <c r="AM3" s="284" t="s">
        <v>239</v>
      </c>
      <c r="AN3" s="284" t="s">
        <v>4104</v>
      </c>
      <c r="AO3" s="284" t="s">
        <v>239</v>
      </c>
      <c r="AP3" s="284" t="s">
        <v>4105</v>
      </c>
      <c r="AQ3" s="284" t="s">
        <v>239</v>
      </c>
      <c r="AR3" s="284" t="s">
        <v>4106</v>
      </c>
      <c r="AS3" s="284" t="s">
        <v>239</v>
      </c>
      <c r="AT3" s="284" t="s">
        <v>4107</v>
      </c>
      <c r="AU3" s="284" t="s">
        <v>239</v>
      </c>
      <c r="AV3" s="284" t="s">
        <v>4108</v>
      </c>
      <c r="AW3" s="284" t="s">
        <v>239</v>
      </c>
      <c r="AX3" s="284" t="s">
        <v>2413</v>
      </c>
      <c r="AY3" s="284" t="s">
        <v>239</v>
      </c>
      <c r="AZ3" s="284" t="s">
        <v>4109</v>
      </c>
      <c r="BA3" s="284" t="s">
        <v>239</v>
      </c>
      <c r="BB3" s="284" t="s">
        <v>4110</v>
      </c>
      <c r="BC3" s="284" t="s">
        <v>4111</v>
      </c>
      <c r="BD3" s="284" t="s">
        <v>4112</v>
      </c>
      <c r="BE3" s="284" t="s">
        <v>4113</v>
      </c>
      <c r="BF3" s="284" t="s">
        <v>4114</v>
      </c>
      <c r="BG3" s="284" t="s">
        <v>2248</v>
      </c>
      <c r="BH3" s="284" t="s">
        <v>2248</v>
      </c>
      <c r="BI3" s="284" t="s">
        <v>2248</v>
      </c>
      <c r="BJ3" s="284" t="s">
        <v>2248</v>
      </c>
      <c r="BK3" s="284" t="s">
        <v>2248</v>
      </c>
      <c r="BL3" s="284" t="s">
        <v>2248</v>
      </c>
      <c r="BM3" s="284" t="s">
        <v>2292</v>
      </c>
      <c r="BN3" s="284" t="s">
        <v>2292</v>
      </c>
      <c r="BO3" s="284" t="s">
        <v>4115</v>
      </c>
      <c r="BP3" s="284" t="s">
        <v>4115</v>
      </c>
      <c r="BQ3" s="284" t="s">
        <v>4115</v>
      </c>
      <c r="BR3" s="284" t="s">
        <v>4115</v>
      </c>
      <c r="BS3" s="284" t="s">
        <v>4115</v>
      </c>
      <c r="BT3" s="284" t="s">
        <v>4116</v>
      </c>
      <c r="BU3" s="284" t="s">
        <v>4117</v>
      </c>
      <c r="BV3" s="284" t="s">
        <v>4117</v>
      </c>
      <c r="BW3" s="284" t="s">
        <v>4118</v>
      </c>
      <c r="BX3" s="284" t="s">
        <v>4117</v>
      </c>
      <c r="BY3" s="284" t="s">
        <v>4117</v>
      </c>
      <c r="BZ3" s="284" t="s">
        <v>4119</v>
      </c>
      <c r="CA3" s="284" t="s">
        <v>108</v>
      </c>
      <c r="CB3" s="284" t="s">
        <v>108</v>
      </c>
      <c r="CC3" s="284" t="s">
        <v>1287</v>
      </c>
      <c r="CD3" s="284" t="s">
        <v>1287</v>
      </c>
      <c r="CE3" s="284" t="s">
        <v>1287</v>
      </c>
      <c r="CF3" s="284" t="s">
        <v>4120</v>
      </c>
      <c r="CG3" s="284" t="s">
        <v>4120</v>
      </c>
      <c r="CH3" s="284" t="s">
        <v>4121</v>
      </c>
      <c r="CI3" s="284" t="s">
        <v>4122</v>
      </c>
      <c r="CJ3" s="284" t="s">
        <v>4123</v>
      </c>
      <c r="CK3" s="284" t="s">
        <v>4123</v>
      </c>
      <c r="CL3" s="284" t="s">
        <v>4123</v>
      </c>
      <c r="CM3" s="284" t="s">
        <v>4124</v>
      </c>
      <c r="CN3" s="284" t="s">
        <v>4124</v>
      </c>
      <c r="CO3" s="284" t="s">
        <v>4125</v>
      </c>
      <c r="CP3" s="284" t="s">
        <v>4124</v>
      </c>
      <c r="CQ3" s="284" t="s">
        <v>4124</v>
      </c>
      <c r="CR3" s="284" t="s">
        <v>4124</v>
      </c>
      <c r="CS3" s="284" t="s">
        <v>4124</v>
      </c>
      <c r="CT3" s="284" t="s">
        <v>4124</v>
      </c>
      <c r="CU3" s="284" t="s">
        <v>4126</v>
      </c>
      <c r="CV3" s="284" t="s">
        <v>4126</v>
      </c>
      <c r="CW3" s="284" t="s">
        <v>4127</v>
      </c>
      <c r="CX3" s="284" t="s">
        <v>4126</v>
      </c>
      <c r="CY3" s="284" t="s">
        <v>4126</v>
      </c>
      <c r="CZ3" s="284" t="s">
        <v>4126</v>
      </c>
      <c r="DA3" s="284" t="s">
        <v>4126</v>
      </c>
      <c r="DB3" s="284" t="s">
        <v>4126</v>
      </c>
      <c r="DC3" s="284" t="s">
        <v>4128</v>
      </c>
      <c r="DD3" s="284" t="s">
        <v>4128</v>
      </c>
      <c r="DE3" s="284" t="s">
        <v>4128</v>
      </c>
      <c r="DF3" s="284" t="s">
        <v>4128</v>
      </c>
      <c r="DG3" s="284" t="s">
        <v>4128</v>
      </c>
      <c r="DH3" s="284" t="s">
        <v>4128</v>
      </c>
      <c r="DI3" s="284" t="s">
        <v>4128</v>
      </c>
      <c r="DJ3" s="284" t="s">
        <v>4128</v>
      </c>
      <c r="DK3" s="284" t="s">
        <v>4128</v>
      </c>
      <c r="DL3" s="284" t="s">
        <v>4128</v>
      </c>
      <c r="DM3" s="284" t="s">
        <v>4128</v>
      </c>
      <c r="DN3" s="284" t="s">
        <v>4128</v>
      </c>
      <c r="DO3" s="284" t="s">
        <v>4128</v>
      </c>
      <c r="DP3" s="284" t="s">
        <v>4128</v>
      </c>
      <c r="DQ3" s="284" t="s">
        <v>4128</v>
      </c>
      <c r="DR3" s="284" t="s">
        <v>973</v>
      </c>
      <c r="DS3" s="284" t="s">
        <v>107</v>
      </c>
      <c r="DT3" s="284" t="s">
        <v>4129</v>
      </c>
      <c r="DU3" s="284" t="s">
        <v>4130</v>
      </c>
      <c r="DV3" s="284" t="s">
        <v>4131</v>
      </c>
      <c r="DW3" s="284" t="s">
        <v>2422</v>
      </c>
      <c r="DX3" s="284" t="s">
        <v>4132</v>
      </c>
      <c r="DY3" s="284" t="s">
        <v>4133</v>
      </c>
      <c r="DZ3" s="284" t="s">
        <v>4134</v>
      </c>
      <c r="EA3" s="284" t="s">
        <v>4134</v>
      </c>
      <c r="EB3" s="284" t="s">
        <v>4134</v>
      </c>
      <c r="EC3" s="284" t="s">
        <v>4134</v>
      </c>
      <c r="ED3" s="284" t="s">
        <v>4134</v>
      </c>
      <c r="EE3" s="284" t="s">
        <v>4134</v>
      </c>
      <c r="EF3" s="284" t="s">
        <v>4135</v>
      </c>
      <c r="EG3" s="284" t="s">
        <v>4135</v>
      </c>
      <c r="EH3" s="284" t="s">
        <v>4136</v>
      </c>
      <c r="EI3" s="284" t="s">
        <v>4136</v>
      </c>
      <c r="EJ3" s="284" t="s">
        <v>4137</v>
      </c>
      <c r="EK3" s="284" t="s">
        <v>4138</v>
      </c>
      <c r="EL3" s="284" t="s">
        <v>4137</v>
      </c>
      <c r="EM3" s="284" t="s">
        <v>4139</v>
      </c>
      <c r="EN3" s="284" t="s">
        <v>4140</v>
      </c>
      <c r="EO3" s="284" t="s">
        <v>4141</v>
      </c>
      <c r="EP3" s="284" t="s">
        <v>4141</v>
      </c>
      <c r="EQ3" s="284" t="s">
        <v>4142</v>
      </c>
      <c r="ER3" s="284" t="s">
        <v>4142</v>
      </c>
    </row>
    <row r="4" spans="1:148" ht="15.75" thickBot="1" x14ac:dyDescent="0.3">
      <c r="A4" s="88" t="s">
        <v>2375</v>
      </c>
      <c r="B4" s="823" t="s">
        <v>2221</v>
      </c>
      <c r="C4" s="27" t="s">
        <v>4144</v>
      </c>
      <c r="D4" s="27" t="s">
        <v>4144</v>
      </c>
      <c r="E4" s="27" t="s">
        <v>4144</v>
      </c>
      <c r="F4" s="27" t="s">
        <v>4144</v>
      </c>
      <c r="G4" s="27" t="s">
        <v>4144</v>
      </c>
      <c r="H4" s="27" t="s">
        <v>4144</v>
      </c>
      <c r="I4" s="27" t="s">
        <v>4144</v>
      </c>
      <c r="J4" s="27" t="s">
        <v>4144</v>
      </c>
      <c r="K4" s="27" t="s">
        <v>4144</v>
      </c>
      <c r="L4" s="27" t="s">
        <v>4144</v>
      </c>
      <c r="M4" s="27" t="s">
        <v>4144</v>
      </c>
      <c r="N4" s="27" t="s">
        <v>2203</v>
      </c>
      <c r="O4" s="27" t="s">
        <v>4145</v>
      </c>
      <c r="P4" s="27" t="s">
        <v>2203</v>
      </c>
      <c r="Q4" s="27" t="s">
        <v>2203</v>
      </c>
      <c r="R4" s="27" t="s">
        <v>2417</v>
      </c>
      <c r="S4" s="27" t="s">
        <v>4146</v>
      </c>
      <c r="T4" s="27" t="s">
        <v>4147</v>
      </c>
      <c r="U4" s="27" t="s">
        <v>4148</v>
      </c>
      <c r="V4" s="27" t="s">
        <v>4149</v>
      </c>
      <c r="W4" s="27" t="s">
        <v>4150</v>
      </c>
      <c r="X4" s="27" t="s">
        <v>2425</v>
      </c>
      <c r="Y4" s="27" t="s">
        <v>4151</v>
      </c>
      <c r="Z4" s="27" t="s">
        <v>2424</v>
      </c>
      <c r="AA4" s="27" t="s">
        <v>2417</v>
      </c>
      <c r="AB4" s="27" t="s">
        <v>2435</v>
      </c>
      <c r="AC4" s="27" t="s">
        <v>4098</v>
      </c>
      <c r="AD4" s="27" t="s">
        <v>4152</v>
      </c>
      <c r="AE4" s="27" t="s">
        <v>4153</v>
      </c>
      <c r="AF4" s="27" t="s">
        <v>4154</v>
      </c>
      <c r="AG4" s="27" t="s">
        <v>4100</v>
      </c>
      <c r="AH4" s="27" t="s">
        <v>2436</v>
      </c>
      <c r="AI4" s="27" t="s">
        <v>4101</v>
      </c>
      <c r="AJ4" s="27" t="s">
        <v>2437</v>
      </c>
      <c r="AK4" s="27" t="s">
        <v>4102</v>
      </c>
      <c r="AL4" s="27" t="s">
        <v>4155</v>
      </c>
      <c r="AM4" s="27" t="s">
        <v>4103</v>
      </c>
      <c r="AN4" s="27" t="s">
        <v>4156</v>
      </c>
      <c r="AO4" s="27" t="s">
        <v>4104</v>
      </c>
      <c r="AP4" s="27" t="s">
        <v>4157</v>
      </c>
      <c r="AQ4" s="27" t="s">
        <v>4105</v>
      </c>
      <c r="AR4" s="27" t="s">
        <v>4158</v>
      </c>
      <c r="AS4" s="27" t="s">
        <v>4106</v>
      </c>
      <c r="AT4" s="27" t="s">
        <v>4159</v>
      </c>
      <c r="AU4" s="27" t="s">
        <v>4107</v>
      </c>
      <c r="AV4" s="27" t="s">
        <v>4160</v>
      </c>
      <c r="AW4" s="27" t="s">
        <v>4108</v>
      </c>
      <c r="AX4" s="27" t="s">
        <v>2417</v>
      </c>
      <c r="AY4" s="27" t="s">
        <v>2413</v>
      </c>
      <c r="AZ4" s="27" t="s">
        <v>4161</v>
      </c>
      <c r="BA4" s="27" t="s">
        <v>4109</v>
      </c>
      <c r="BB4" s="27" t="s">
        <v>4098</v>
      </c>
      <c r="BC4" s="27" t="s">
        <v>2413</v>
      </c>
      <c r="BD4" s="27" t="s">
        <v>4099</v>
      </c>
      <c r="BE4" s="27" t="s">
        <v>4098</v>
      </c>
      <c r="BF4" s="27" t="s">
        <v>4162</v>
      </c>
      <c r="BG4" s="27" t="s">
        <v>2203</v>
      </c>
      <c r="BH4" s="27" t="s">
        <v>4143</v>
      </c>
      <c r="BI4" s="27" t="s">
        <v>2423</v>
      </c>
      <c r="BJ4" s="27" t="s">
        <v>4122</v>
      </c>
      <c r="BK4" s="27" t="s">
        <v>4163</v>
      </c>
      <c r="BL4" s="27" t="s">
        <v>4164</v>
      </c>
      <c r="BM4" s="27" t="s">
        <v>2203</v>
      </c>
      <c r="BN4" s="27" t="s">
        <v>53</v>
      </c>
      <c r="BO4" s="27" t="s">
        <v>4122</v>
      </c>
      <c r="BP4" s="27" t="s">
        <v>4165</v>
      </c>
      <c r="BQ4" s="27" t="s">
        <v>4166</v>
      </c>
      <c r="BR4" s="27" t="s">
        <v>4133</v>
      </c>
      <c r="BS4" s="27" t="s">
        <v>53</v>
      </c>
      <c r="BT4" s="27" t="s">
        <v>4167</v>
      </c>
      <c r="BU4" s="27" t="s">
        <v>2203</v>
      </c>
      <c r="BV4" s="27" t="s">
        <v>2221</v>
      </c>
      <c r="BW4" s="27" t="s">
        <v>2423</v>
      </c>
      <c r="BX4" s="27" t="s">
        <v>4133</v>
      </c>
      <c r="BY4" s="27" t="s">
        <v>4122</v>
      </c>
      <c r="BZ4" s="27" t="s">
        <v>4163</v>
      </c>
      <c r="CA4" s="27" t="s">
        <v>2203</v>
      </c>
      <c r="CB4" s="27" t="s">
        <v>2423</v>
      </c>
      <c r="CC4" s="27" t="s">
        <v>2203</v>
      </c>
      <c r="CD4" s="27" t="s">
        <v>2423</v>
      </c>
      <c r="CE4" s="27" t="s">
        <v>4122</v>
      </c>
      <c r="CF4" s="27" t="s">
        <v>2423</v>
      </c>
      <c r="CG4" s="27" t="s">
        <v>4132</v>
      </c>
      <c r="CH4" s="27" t="s">
        <v>2221</v>
      </c>
      <c r="CI4" s="27" t="s">
        <v>4168</v>
      </c>
      <c r="CJ4" s="27" t="s">
        <v>2203</v>
      </c>
      <c r="CK4" s="27" t="s">
        <v>2423</v>
      </c>
      <c r="CL4" s="27" t="s">
        <v>4133</v>
      </c>
      <c r="CM4" s="27" t="s">
        <v>2423</v>
      </c>
      <c r="CN4" s="27" t="s">
        <v>4132</v>
      </c>
      <c r="CO4" s="27" t="s">
        <v>4169</v>
      </c>
      <c r="CP4" s="27" t="s">
        <v>4170</v>
      </c>
      <c r="CQ4" s="27" t="s">
        <v>4171</v>
      </c>
      <c r="CR4" s="27" t="s">
        <v>4166</v>
      </c>
      <c r="CS4" s="27" t="s">
        <v>4172</v>
      </c>
      <c r="CT4" s="27" t="s">
        <v>4133</v>
      </c>
      <c r="CU4" s="27" t="s">
        <v>2423</v>
      </c>
      <c r="CV4" s="27" t="s">
        <v>4132</v>
      </c>
      <c r="CW4" s="27" t="s">
        <v>4169</v>
      </c>
      <c r="CX4" s="27" t="s">
        <v>4170</v>
      </c>
      <c r="CY4" s="27" t="s">
        <v>4171</v>
      </c>
      <c r="CZ4" s="27" t="s">
        <v>4166</v>
      </c>
      <c r="DA4" s="27" t="s">
        <v>4172</v>
      </c>
      <c r="DB4" s="27" t="s">
        <v>4133</v>
      </c>
      <c r="DC4" s="27" t="s">
        <v>4173</v>
      </c>
      <c r="DD4" s="27" t="s">
        <v>4174</v>
      </c>
      <c r="DE4" s="27" t="s">
        <v>2203</v>
      </c>
      <c r="DF4" s="27" t="s">
        <v>4175</v>
      </c>
      <c r="DG4" s="27" t="s">
        <v>2423</v>
      </c>
      <c r="DH4" s="27" t="s">
        <v>4132</v>
      </c>
      <c r="DI4" s="27" t="s">
        <v>2221</v>
      </c>
      <c r="DJ4" s="27" t="s">
        <v>2248</v>
      </c>
      <c r="DK4" s="27" t="s">
        <v>4176</v>
      </c>
      <c r="DL4" s="27" t="s">
        <v>4162</v>
      </c>
      <c r="DM4" s="27" t="s">
        <v>4177</v>
      </c>
      <c r="DN4" s="27" t="s">
        <v>4178</v>
      </c>
      <c r="DO4" s="27" t="s">
        <v>108</v>
      </c>
      <c r="DP4" s="27" t="s">
        <v>4119</v>
      </c>
      <c r="DQ4" s="27" t="s">
        <v>232</v>
      </c>
      <c r="DR4" s="27" t="s">
        <v>4179</v>
      </c>
      <c r="DS4" s="27" t="s">
        <v>4180</v>
      </c>
      <c r="DT4" s="27" t="s">
        <v>2825</v>
      </c>
      <c r="DU4" s="27" t="s">
        <v>4169</v>
      </c>
      <c r="DV4" s="27" t="s">
        <v>2423</v>
      </c>
      <c r="DW4" s="27" t="s">
        <v>4181</v>
      </c>
      <c r="DX4" s="27" t="s">
        <v>2423</v>
      </c>
      <c r="DY4" s="27" t="s">
        <v>4172</v>
      </c>
      <c r="DZ4" s="27" t="s">
        <v>4182</v>
      </c>
      <c r="EA4" s="27" t="s">
        <v>4183</v>
      </c>
      <c r="EB4" s="27" t="s">
        <v>4184</v>
      </c>
      <c r="EC4" s="27" t="s">
        <v>4185</v>
      </c>
      <c r="ED4" s="27" t="s">
        <v>4186</v>
      </c>
      <c r="EE4" s="27" t="s">
        <v>4187</v>
      </c>
      <c r="EF4" s="27" t="s">
        <v>4182</v>
      </c>
      <c r="EG4" s="27" t="s">
        <v>4188</v>
      </c>
      <c r="EH4" s="27" t="s">
        <v>4182</v>
      </c>
      <c r="EI4" s="27" t="s">
        <v>4189</v>
      </c>
      <c r="EJ4" s="27" t="s">
        <v>1345</v>
      </c>
      <c r="EK4" s="27" t="s">
        <v>1345</v>
      </c>
      <c r="EL4" s="27" t="s">
        <v>4182</v>
      </c>
      <c r="EM4" s="27" t="s">
        <v>4182</v>
      </c>
      <c r="EN4" s="27" t="s">
        <v>4190</v>
      </c>
      <c r="EO4" s="27" t="s">
        <v>2423</v>
      </c>
      <c r="EP4" s="27" t="s">
        <v>4132</v>
      </c>
      <c r="EQ4" s="27" t="s">
        <v>2423</v>
      </c>
      <c r="ER4" s="27" t="s">
        <v>4132</v>
      </c>
    </row>
    <row r="5" spans="1:148" ht="15.75" thickTop="1" x14ac:dyDescent="0.25">
      <c r="A5" s="75" t="s">
        <v>4191</v>
      </c>
      <c r="B5" s="82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4192</v>
      </c>
      <c r="B6" s="82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4193</v>
      </c>
      <c r="B7" s="82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4194</v>
      </c>
      <c r="B8" s="82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4195</v>
      </c>
      <c r="B9" s="82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4196</v>
      </c>
      <c r="B10" s="82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4197</v>
      </c>
      <c r="B11" s="82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4198</v>
      </c>
      <c r="B12" s="82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4199</v>
      </c>
      <c r="B13" s="82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4207</v>
      </c>
      <c r="B14" s="825">
        <v>7063.0699152726838</v>
      </c>
      <c r="C14" s="826">
        <v>20450.706430244602</v>
      </c>
      <c r="D14" s="826">
        <v>21917.500396772375</v>
      </c>
      <c r="E14" s="826">
        <v>21917.500396772375</v>
      </c>
      <c r="F14" s="826">
        <v>21603.501382742899</v>
      </c>
      <c r="G14" s="826">
        <v>21603.501382742899</v>
      </c>
      <c r="H14" s="826">
        <v>21603.501382742899</v>
      </c>
      <c r="I14" s="826">
        <v>14309.177847042742</v>
      </c>
      <c r="J14" s="826">
        <v>18560.487521080657</v>
      </c>
      <c r="K14" s="826">
        <v>10103.166441095422</v>
      </c>
      <c r="L14" s="826">
        <v>12611.004892484736</v>
      </c>
      <c r="M14" s="826">
        <v>13957.615916714196</v>
      </c>
      <c r="N14" s="826">
        <v>9386.755807995336</v>
      </c>
      <c r="O14" s="826">
        <v>9662.4120666853196</v>
      </c>
      <c r="P14" s="826">
        <v>12815.758241729513</v>
      </c>
      <c r="Q14" s="826">
        <v>11450.520814279535</v>
      </c>
      <c r="R14" s="826">
        <v>31283.636683294761</v>
      </c>
      <c r="S14" s="826">
        <v>26457.565502016208</v>
      </c>
      <c r="T14" s="826">
        <v>51258.183246613677</v>
      </c>
      <c r="U14" s="826">
        <v>23612.477054978379</v>
      </c>
      <c r="V14" s="826">
        <v>30601.747932371618</v>
      </c>
      <c r="W14" s="826">
        <v>4585.6897981636484</v>
      </c>
      <c r="X14" s="826">
        <v>42235.656132832111</v>
      </c>
      <c r="Y14" s="826">
        <v>64812.704227285962</v>
      </c>
      <c r="Z14" s="826">
        <v>37789.858576643594</v>
      </c>
      <c r="AA14" s="826">
        <v>162499.57535256227</v>
      </c>
      <c r="AB14" s="826">
        <v>5185.7232427692152</v>
      </c>
      <c r="AC14" s="826">
        <v>1034.5121161135357</v>
      </c>
      <c r="AD14" s="826">
        <v>8065.4727825936334</v>
      </c>
      <c r="AE14" s="826">
        <v>3923.6588055644897</v>
      </c>
      <c r="AF14" s="826">
        <v>99155.348931793182</v>
      </c>
      <c r="AG14" s="826">
        <v>97668.117836217018</v>
      </c>
      <c r="AH14" s="826">
        <v>36968.458627760352</v>
      </c>
      <c r="AI14" s="826">
        <v>33393.954583881437</v>
      </c>
      <c r="AJ14" s="826">
        <v>123.65244300655831</v>
      </c>
      <c r="AK14" s="826">
        <v>-4044.0771624024928</v>
      </c>
      <c r="AL14" s="826">
        <v>29591.354480300168</v>
      </c>
      <c r="AM14" s="826">
        <v>25396.024157142067</v>
      </c>
      <c r="AN14" s="826">
        <v>8693.6470194680423</v>
      </c>
      <c r="AO14" s="826">
        <v>11283.255129350171</v>
      </c>
      <c r="AP14" s="826">
        <v>1613.9926242323158</v>
      </c>
      <c r="AQ14" s="826">
        <v>2765.4958573295171</v>
      </c>
      <c r="AR14" s="826">
        <v>3268.6703134126915</v>
      </c>
      <c r="AS14" s="826">
        <v>4542.1081438586161</v>
      </c>
      <c r="AT14" s="826">
        <v>139.92216164931639</v>
      </c>
      <c r="AU14" s="826">
        <v>1338.6194248983093</v>
      </c>
      <c r="AV14" s="826">
        <v>7022.8394490071059</v>
      </c>
      <c r="AW14" s="826">
        <v>8999.2674791932459</v>
      </c>
      <c r="AX14" s="826">
        <v>8693.190910654379</v>
      </c>
      <c r="AY14" s="826">
        <v>8461.7290496778423</v>
      </c>
      <c r="AZ14" s="826">
        <v>118604.15539089733</v>
      </c>
      <c r="BA14" s="826">
        <v>116180.96082377175</v>
      </c>
      <c r="BB14" s="826">
        <v>14488.586118168954</v>
      </c>
      <c r="BC14" s="826">
        <v>6894.4758083767138</v>
      </c>
      <c r="BD14" s="826">
        <v>29788.554233291194</v>
      </c>
      <c r="BE14" s="826">
        <v>14668.353483059453</v>
      </c>
      <c r="BF14" s="826">
        <v>42811.487829685684</v>
      </c>
      <c r="BG14" s="826">
        <v>52787.788255618827</v>
      </c>
      <c r="BH14" s="826">
        <v>105743.62587578055</v>
      </c>
      <c r="BI14" s="826">
        <v>11251.789310046039</v>
      </c>
      <c r="BJ14" s="826">
        <v>24181.165112004568</v>
      </c>
      <c r="BK14" s="826">
        <v>104795.99392190872</v>
      </c>
      <c r="BL14" s="826">
        <v>52787.788255618827</v>
      </c>
      <c r="BM14" s="826">
        <v>92425.693251221543</v>
      </c>
      <c r="BN14" s="826">
        <v>79757.947194365173</v>
      </c>
      <c r="BO14" s="826">
        <v>14999.847449247001</v>
      </c>
      <c r="BP14" s="826">
        <v>9981.9621976758935</v>
      </c>
      <c r="BQ14" s="826">
        <v>-4946.5766144083109</v>
      </c>
      <c r="BR14" s="826">
        <v>59127.145833928327</v>
      </c>
      <c r="BS14" s="826">
        <v>95936.530618035671</v>
      </c>
      <c r="BT14" s="826">
        <v>16853.453358241823</v>
      </c>
      <c r="BU14" s="826">
        <v>39198.80750520491</v>
      </c>
      <c r="BV14" s="826">
        <v>110779.56428721473</v>
      </c>
      <c r="BW14" s="826">
        <v>4791.7464689488097</v>
      </c>
      <c r="BX14" s="826">
        <v>32488.989883528375</v>
      </c>
      <c r="BY14" s="826">
        <v>27960.770958541059</v>
      </c>
      <c r="BZ14" s="826">
        <v>108836.24186983894</v>
      </c>
      <c r="CA14" s="826">
        <v>23328.832880532158</v>
      </c>
      <c r="CB14" s="826">
        <v>-4213.6412278772041</v>
      </c>
      <c r="CC14" s="826">
        <v>37252.961212307622</v>
      </c>
      <c r="CD14" s="826">
        <v>4285.5827198203751</v>
      </c>
      <c r="CE14" s="826">
        <v>24484.617960382002</v>
      </c>
      <c r="CF14" s="826">
        <v>6713.5278849102142</v>
      </c>
      <c r="CG14" s="826">
        <v>13001.799998819322</v>
      </c>
      <c r="CH14" s="826">
        <v>85400.746527898009</v>
      </c>
      <c r="CI14" s="826">
        <v>13347.475496434161</v>
      </c>
      <c r="CJ14" s="826">
        <v>29675.202680149265</v>
      </c>
      <c r="CK14" s="826">
        <v>4516.035462488313</v>
      </c>
      <c r="CL14" s="826">
        <v>44783.524263008527</v>
      </c>
      <c r="CM14" s="826">
        <v>5128.0611587179537</v>
      </c>
      <c r="CN14" s="826">
        <v>11425.900647387769</v>
      </c>
      <c r="CO14" s="826">
        <v>-8164.3048971853095</v>
      </c>
      <c r="CP14" s="826">
        <v>-96874.836402639223</v>
      </c>
      <c r="CQ14" s="826">
        <v>-33122.107112732316</v>
      </c>
      <c r="CR14" s="826">
        <v>-16869.540154982911</v>
      </c>
      <c r="CS14" s="826">
        <v>5716.8633476941404</v>
      </c>
      <c r="CT14" s="826">
        <v>7494.0543561066079</v>
      </c>
      <c r="CU14" s="826">
        <v>27461.199965583211</v>
      </c>
      <c r="CV14" s="826">
        <v>34091.902491611705</v>
      </c>
      <c r="CW14" s="826">
        <v>13466.285456113499</v>
      </c>
      <c r="CX14" s="826">
        <v>28642.609477172835</v>
      </c>
      <c r="CY14" s="826">
        <v>-12810.624655330961</v>
      </c>
      <c r="CZ14" s="826">
        <v>27764.540724708077</v>
      </c>
      <c r="DA14" s="826">
        <v>28081.122427687482</v>
      </c>
      <c r="DB14" s="826">
        <v>29952.244251263</v>
      </c>
      <c r="DC14" s="826">
        <v>64282.957002772855</v>
      </c>
      <c r="DD14" s="826">
        <v>337636.0119216594</v>
      </c>
      <c r="DE14" s="826">
        <v>91181.131284869552</v>
      </c>
      <c r="DF14" s="826">
        <v>5919.6354789704756</v>
      </c>
      <c r="DG14" s="826">
        <v>9262.3693802483103</v>
      </c>
      <c r="DH14" s="826">
        <v>17484.183278132576</v>
      </c>
      <c r="DI14" s="826">
        <v>156814.65494681906</v>
      </c>
      <c r="DJ14" s="826">
        <v>141150.19379913449</v>
      </c>
      <c r="DK14" s="826">
        <v>12731.621135596182</v>
      </c>
      <c r="DL14" s="826">
        <v>61163.121276041136</v>
      </c>
      <c r="DM14" s="826">
        <v>51856.258130394694</v>
      </c>
      <c r="DN14" s="826">
        <v>48150.414293667738</v>
      </c>
      <c r="DO14" s="826">
        <v>170144.73119218857</v>
      </c>
      <c r="DP14" s="826">
        <v>196474.90098663868</v>
      </c>
      <c r="DQ14" s="826">
        <v>136628.69242840042</v>
      </c>
      <c r="DR14" s="826">
        <v>86584.851729888134</v>
      </c>
      <c r="DS14" s="826">
        <v>7488.6421997932075</v>
      </c>
      <c r="DT14" s="826">
        <v>1274.5607536220784</v>
      </c>
      <c r="DU14" s="826">
        <v>2874.6512285294025</v>
      </c>
      <c r="DV14" s="826">
        <v>0</v>
      </c>
      <c r="DW14" s="826">
        <v>7729.7870601674249</v>
      </c>
      <c r="DX14" s="826">
        <v>5168.2465348989581</v>
      </c>
      <c r="DY14" s="826">
        <v>-6163.418711417522</v>
      </c>
      <c r="DZ14" s="826">
        <v>9598.7517084789197</v>
      </c>
      <c r="EA14" s="826">
        <v>9944.9324438385738</v>
      </c>
      <c r="EB14" s="826">
        <v>10128.709934118149</v>
      </c>
      <c r="EC14" s="826">
        <v>8166.1574197946602</v>
      </c>
      <c r="ED14" s="826">
        <v>8588.589069020938</v>
      </c>
      <c r="EE14" s="826">
        <v>7945.7582984570563</v>
      </c>
      <c r="EF14" s="826">
        <v>82405.962060994949</v>
      </c>
      <c r="EG14" s="826">
        <v>82405.962060994949</v>
      </c>
      <c r="EH14" s="826">
        <v>5706.447348779473</v>
      </c>
      <c r="EI14" s="826">
        <v>5706.447348779473</v>
      </c>
      <c r="EJ14" s="826">
        <v>44321.139139770821</v>
      </c>
      <c r="EK14" s="826">
        <v>1079.4252851421975</v>
      </c>
      <c r="EL14" s="826">
        <v>43419.766917548812</v>
      </c>
      <c r="EM14" s="826">
        <v>199019.75159668352</v>
      </c>
      <c r="EN14" s="826">
        <v>38168.40271478561</v>
      </c>
      <c r="EO14" s="826">
        <v>6713.5278849102142</v>
      </c>
      <c r="EP14" s="826">
        <v>13001.799998819322</v>
      </c>
      <c r="EQ14" s="826">
        <v>6713.5278849102142</v>
      </c>
      <c r="ER14" s="826">
        <v>13001.799998819322</v>
      </c>
    </row>
    <row r="16" spans="1:148" ht="15.75" x14ac:dyDescent="0.25">
      <c r="A16" s="159" t="s">
        <v>4219</v>
      </c>
      <c r="E16" s="159" t="s">
        <v>4225</v>
      </c>
    </row>
    <row r="17" spans="1:7" x14ac:dyDescent="0.25">
      <c r="A17" s="284" t="s">
        <v>225</v>
      </c>
      <c r="B17" s="404" t="s">
        <v>4223</v>
      </c>
      <c r="C17" s="284" t="s">
        <v>4222</v>
      </c>
      <c r="E17" s="284" t="s">
        <v>225</v>
      </c>
      <c r="F17" s="404" t="s">
        <v>4223</v>
      </c>
      <c r="G17" s="284" t="s">
        <v>4222</v>
      </c>
    </row>
    <row r="18" spans="1:7" ht="15.75" thickBot="1" x14ac:dyDescent="0.3">
      <c r="A18" s="88" t="s">
        <v>2375</v>
      </c>
      <c r="B18" s="823" t="s">
        <v>4208</v>
      </c>
      <c r="C18" s="27" t="s">
        <v>4209</v>
      </c>
      <c r="E18" s="88" t="s">
        <v>2375</v>
      </c>
      <c r="F18" s="823" t="s">
        <v>4208</v>
      </c>
      <c r="G18" s="27" t="s">
        <v>4209</v>
      </c>
    </row>
    <row r="19" spans="1:7" ht="15.75" thickTop="1" x14ac:dyDescent="0.25">
      <c r="A19" s="75" t="s">
        <v>4213</v>
      </c>
      <c r="B19" s="60">
        <v>0.12879739751258229</v>
      </c>
      <c r="C19" s="60">
        <v>4.7737219873676823E-2</v>
      </c>
      <c r="E19" s="75" t="s">
        <v>4213</v>
      </c>
      <c r="F19" s="60">
        <f>B19/$B$33</f>
        <v>73.044723844582336</v>
      </c>
      <c r="G19" s="60">
        <f>C19/$C$34</f>
        <v>3.0316628500670175</v>
      </c>
    </row>
    <row r="20" spans="1:7" x14ac:dyDescent="0.25">
      <c r="A20" s="75" t="s">
        <v>4214</v>
      </c>
      <c r="B20" s="60">
        <v>0.15855233969998242</v>
      </c>
      <c r="C20" s="60">
        <v>3.4717978089946783E-2</v>
      </c>
      <c r="E20" s="75" t="s">
        <v>4214</v>
      </c>
      <c r="F20" s="60">
        <f t="shared" ref="F20:F29" si="0">B20/$B$33</f>
        <v>89.919610892496721</v>
      </c>
      <c r="G20" s="60">
        <f t="shared" ref="G20:G29" si="1">C20/$C$34</f>
        <v>2.2048457091396494</v>
      </c>
    </row>
    <row r="21" spans="1:7" x14ac:dyDescent="0.25">
      <c r="A21" s="75" t="s">
        <v>4210</v>
      </c>
      <c r="B21" s="60">
        <v>3.2628962088253576E-2</v>
      </c>
      <c r="C21" s="60">
        <v>5.7308186845012654E-2</v>
      </c>
      <c r="E21" s="75" t="s">
        <v>4210</v>
      </c>
      <c r="F21" s="60">
        <f t="shared" si="0"/>
        <v>18.504826736417527</v>
      </c>
      <c r="G21" s="60">
        <f t="shared" si="1"/>
        <v>3.6394893025290553</v>
      </c>
    </row>
    <row r="22" spans="1:7" x14ac:dyDescent="0.25">
      <c r="A22" s="75" t="s">
        <v>4211</v>
      </c>
      <c r="B22" s="60">
        <v>6.5164698570540711</v>
      </c>
      <c r="C22" s="60">
        <v>8.2457189182345916E-2</v>
      </c>
      <c r="E22" s="75" t="s">
        <v>4211</v>
      </c>
      <c r="F22" s="60">
        <f t="shared" si="0"/>
        <v>3695.678253930243</v>
      </c>
      <c r="G22" s="60">
        <f t="shared" si="1"/>
        <v>5.2366350161692372</v>
      </c>
    </row>
    <row r="23" spans="1:7" x14ac:dyDescent="0.25">
      <c r="A23" s="75" t="s">
        <v>4212</v>
      </c>
      <c r="B23" s="60">
        <v>7.0776001128952069E-3</v>
      </c>
      <c r="C23" s="60">
        <v>4.113360757532597E-2</v>
      </c>
      <c r="E23" s="75" t="s">
        <v>4212</v>
      </c>
      <c r="F23" s="60">
        <f t="shared" si="0"/>
        <v>4.013911427661502</v>
      </c>
      <c r="G23" s="60">
        <f t="shared" si="1"/>
        <v>2.6122851373696072</v>
      </c>
    </row>
    <row r="24" spans="1:7" x14ac:dyDescent="0.25">
      <c r="A24" s="75" t="s">
        <v>4215</v>
      </c>
      <c r="B24" s="60">
        <v>0.21255438160348045</v>
      </c>
      <c r="C24" s="60">
        <v>0.35943721191341449</v>
      </c>
      <c r="E24" s="75" t="s">
        <v>4215</v>
      </c>
      <c r="F24" s="60">
        <f t="shared" si="0"/>
        <v>120.54572845437704</v>
      </c>
      <c r="G24" s="60">
        <f t="shared" si="1"/>
        <v>22.826893672759546</v>
      </c>
    </row>
    <row r="25" spans="1:7" x14ac:dyDescent="0.25">
      <c r="A25" s="75" t="s">
        <v>4216</v>
      </c>
      <c r="B25" s="60">
        <v>3.2498587889378018E-3</v>
      </c>
      <c r="C25" s="60">
        <v>1.9449317967324929E-2</v>
      </c>
      <c r="E25" s="75" t="s">
        <v>4216</v>
      </c>
      <c r="F25" s="60">
        <f t="shared" si="0"/>
        <v>1.8430887762981412</v>
      </c>
      <c r="G25" s="60">
        <f t="shared" si="1"/>
        <v>1.2351740402292186</v>
      </c>
    </row>
    <row r="26" spans="1:7" x14ac:dyDescent="0.25">
      <c r="A26" s="75" t="s">
        <v>4217</v>
      </c>
      <c r="B26" s="60">
        <v>6.1404599129894349E-3</v>
      </c>
      <c r="C26" s="60">
        <v>8.7886342293415232E-3</v>
      </c>
      <c r="E26" s="75" t="s">
        <v>4217</v>
      </c>
      <c r="F26" s="60">
        <f t="shared" si="0"/>
        <v>3.4824321553486701</v>
      </c>
      <c r="G26" s="60">
        <f t="shared" si="1"/>
        <v>0.55814259746228234</v>
      </c>
    </row>
    <row r="27" spans="1:7" x14ac:dyDescent="0.25">
      <c r="A27" s="75" t="s">
        <v>4220</v>
      </c>
      <c r="B27" s="60">
        <v>1.3684632914310995</v>
      </c>
      <c r="C27" s="60">
        <v>11.625821888673611</v>
      </c>
      <c r="E27" s="75" t="s">
        <v>4220</v>
      </c>
      <c r="F27" s="60">
        <f t="shared" si="0"/>
        <v>776.0950542829703</v>
      </c>
      <c r="G27" s="60">
        <f t="shared" si="1"/>
        <v>738.32477916927905</v>
      </c>
    </row>
    <row r="28" spans="1:7" x14ac:dyDescent="0.25">
      <c r="A28" s="75" t="s">
        <v>4221</v>
      </c>
      <c r="B28" s="60">
        <v>102.15890811150129</v>
      </c>
      <c r="C28" s="60">
        <v>1109.3625174607919</v>
      </c>
      <c r="E28" s="75" t="s">
        <v>4221</v>
      </c>
      <c r="F28" s="60">
        <f t="shared" si="0"/>
        <v>57937.267176067675</v>
      </c>
      <c r="G28" s="60">
        <f t="shared" si="1"/>
        <v>70452.639268531071</v>
      </c>
    </row>
    <row r="29" spans="1:7" x14ac:dyDescent="0.25">
      <c r="A29" s="75" t="s">
        <v>4224</v>
      </c>
      <c r="B29" s="60">
        <v>-102.15890811150129</v>
      </c>
      <c r="C29" s="60">
        <v>-1109.3625174607919</v>
      </c>
      <c r="E29" s="75" t="s">
        <v>4224</v>
      </c>
      <c r="F29" s="60">
        <f t="shared" si="0"/>
        <v>-57937.267176067675</v>
      </c>
      <c r="G29" s="60">
        <f t="shared" si="1"/>
        <v>-70452.639268531071</v>
      </c>
    </row>
    <row r="31" spans="1:7" ht="15.75" x14ac:dyDescent="0.25">
      <c r="A31" s="159" t="s">
        <v>4226</v>
      </c>
    </row>
    <row r="32" spans="1:7" ht="15.75" thickBot="1" x14ac:dyDescent="0.3">
      <c r="A32" s="827" t="s">
        <v>225</v>
      </c>
      <c r="B32" s="88" t="s">
        <v>4218</v>
      </c>
      <c r="C32" s="88" t="s">
        <v>3974</v>
      </c>
    </row>
    <row r="33" spans="1:3" ht="15.75" thickTop="1" x14ac:dyDescent="0.25">
      <c r="A33" t="s">
        <v>4227</v>
      </c>
      <c r="B33" s="60">
        <v>1.7632676356833825E-3</v>
      </c>
      <c r="C33" s="60"/>
    </row>
    <row r="34" spans="1:3" x14ac:dyDescent="0.25">
      <c r="A34" t="s">
        <v>4228</v>
      </c>
      <c r="B34" s="60"/>
      <c r="C34" s="60">
        <v>1.5746216592858124E-2</v>
      </c>
    </row>
  </sheetData>
  <hyperlinks>
    <hyperlink ref="A1" r:id="rId1" xr:uid="{C10BB9AF-E063-4B38-BDC0-6ECF45F4301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68" t="s">
        <v>2317</v>
      </c>
      <c r="B1" s="600" t="s">
        <v>2318</v>
      </c>
      <c r="D1" s="1165" t="s">
        <v>580</v>
      </c>
      <c r="E1" s="1166"/>
      <c r="O1" s="1037" t="s">
        <v>947</v>
      </c>
      <c r="P1" s="1037"/>
      <c r="Q1" s="1037"/>
      <c r="R1" s="1037"/>
      <c r="S1" s="1037"/>
      <c r="T1" s="1037"/>
      <c r="U1" s="1037"/>
      <c r="V1" s="1037"/>
    </row>
    <row r="2" spans="1:24" ht="15.75" thickBot="1" x14ac:dyDescent="0.3">
      <c r="A2" s="1169"/>
      <c r="B2" s="601" t="s">
        <v>2319</v>
      </c>
      <c r="D2" s="348" t="s">
        <v>577</v>
      </c>
      <c r="E2" s="349" t="s">
        <v>578</v>
      </c>
      <c r="O2" s="104" t="s">
        <v>576</v>
      </c>
      <c r="P2" s="104">
        <v>2020</v>
      </c>
      <c r="Q2" s="104">
        <v>2025</v>
      </c>
      <c r="R2" s="104">
        <v>2030</v>
      </c>
      <c r="S2" s="104">
        <v>2035</v>
      </c>
      <c r="T2" s="104">
        <v>2040</v>
      </c>
      <c r="U2" s="104">
        <v>2045</v>
      </c>
      <c r="V2" s="104">
        <v>2050</v>
      </c>
    </row>
    <row r="3" spans="1:24" ht="15.75" x14ac:dyDescent="0.25">
      <c r="A3" s="1037" t="s">
        <v>965</v>
      </c>
      <c r="B3" s="1037"/>
      <c r="C3" s="1037"/>
      <c r="D3" s="1037"/>
      <c r="E3" s="1037"/>
      <c r="F3" s="1037"/>
      <c r="G3" s="1037"/>
      <c r="H3" s="1037"/>
      <c r="I3" s="1037"/>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37" t="s">
        <v>957</v>
      </c>
      <c r="B31" s="1037"/>
      <c r="C31" s="1037"/>
      <c r="D31" s="1037"/>
      <c r="E31" s="1037"/>
      <c r="F31" s="1037"/>
      <c r="G31" s="1037"/>
      <c r="H31" s="1037"/>
      <c r="I31" s="1037"/>
      <c r="J31" s="1037"/>
      <c r="K31" s="1037"/>
      <c r="L31" s="1037"/>
      <c r="M31" s="1037"/>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098" t="s">
        <v>1203</v>
      </c>
      <c r="B74" s="1098"/>
      <c r="C74" s="1098"/>
      <c r="D74" s="1098"/>
      <c r="E74" s="1098"/>
      <c r="F74" s="1098"/>
      <c r="G74" s="1098"/>
      <c r="H74" s="159"/>
      <c r="I74" s="1167" t="s">
        <v>1224</v>
      </c>
      <c r="J74" s="1167"/>
      <c r="K74" s="1167"/>
      <c r="L74" s="1167"/>
      <c r="M74" s="1167"/>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87" t="s">
        <v>1206</v>
      </c>
      <c r="B79" s="1087"/>
      <c r="C79" s="1087"/>
      <c r="D79" s="1087"/>
      <c r="E79" s="1087"/>
      <c r="F79" s="1087"/>
      <c r="G79" s="1087"/>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87"/>
      <c r="B80" s="1087"/>
      <c r="C80" s="1087"/>
      <c r="D80" s="1087"/>
      <c r="E80" s="1087"/>
      <c r="F80" s="1087"/>
      <c r="G80" s="1087"/>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87"/>
      <c r="B81" s="1087"/>
      <c r="C81" s="1087"/>
      <c r="D81" s="1087"/>
      <c r="E81" s="1087"/>
      <c r="F81" s="1087"/>
      <c r="G81" s="1087"/>
      <c r="H81" s="28"/>
      <c r="I81" s="89"/>
      <c r="O81" s="61" t="s">
        <v>991</v>
      </c>
    </row>
    <row r="83" spans="1:27" ht="15.75" x14ac:dyDescent="0.25">
      <c r="A83" s="1037" t="s">
        <v>969</v>
      </c>
      <c r="B83" s="1037"/>
      <c r="C83" s="1037"/>
      <c r="D83" s="1037"/>
      <c r="E83" s="1037"/>
      <c r="F83" s="1037"/>
      <c r="G83" s="1037"/>
      <c r="H83" s="1037"/>
      <c r="I83" s="1037"/>
      <c r="J83" s="1037"/>
      <c r="K83" s="1037"/>
      <c r="O83" s="1037" t="s">
        <v>978</v>
      </c>
      <c r="P83" s="1037"/>
      <c r="Q83" s="1037"/>
      <c r="R83" s="1037"/>
      <c r="S83" s="1037"/>
      <c r="T83" s="1037"/>
      <c r="U83" s="1037"/>
      <c r="V83" s="1037"/>
      <c r="W83" s="1037"/>
      <c r="X83" s="1037"/>
      <c r="Y83" s="1037"/>
      <c r="Z83" s="1037"/>
      <c r="AA83" s="1037"/>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37" t="s">
        <v>971</v>
      </c>
      <c r="B90" s="1037"/>
      <c r="C90" s="1037"/>
      <c r="D90" s="1037"/>
      <c r="E90" s="1037"/>
      <c r="F90" s="1037"/>
      <c r="G90" s="1037"/>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87" t="s">
        <v>1127</v>
      </c>
      <c r="P92" s="1087"/>
      <c r="Q92" s="1087"/>
      <c r="R92" s="1087"/>
      <c r="S92" s="1087"/>
      <c r="T92" s="1087"/>
      <c r="U92" s="1087"/>
      <c r="V92" s="1087"/>
      <c r="W92" s="1087"/>
      <c r="X92" s="1087"/>
      <c r="Y92" s="1087"/>
      <c r="Z92" s="1087"/>
      <c r="AA92" s="1087"/>
    </row>
    <row r="93" spans="1:27" x14ac:dyDescent="0.25">
      <c r="A93" t="s">
        <v>975</v>
      </c>
      <c r="B93" s="85">
        <v>0.58299999999999996</v>
      </c>
      <c r="C93" s="84">
        <v>1.08</v>
      </c>
      <c r="D93" s="84">
        <v>1</v>
      </c>
      <c r="E93" s="84">
        <v>1</v>
      </c>
      <c r="F93" s="84">
        <v>1</v>
      </c>
      <c r="G93" s="84">
        <v>1</v>
      </c>
      <c r="O93" s="1087"/>
      <c r="P93" s="1087"/>
      <c r="Q93" s="1087"/>
      <c r="R93" s="1087"/>
      <c r="S93" s="1087"/>
      <c r="T93" s="1087"/>
      <c r="U93" s="1087"/>
      <c r="V93" s="1087"/>
      <c r="W93" s="1087"/>
      <c r="X93" s="1087"/>
      <c r="Y93" s="1087"/>
      <c r="Z93" s="1087"/>
      <c r="AA93" s="1087"/>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37" t="s">
        <v>1580</v>
      </c>
      <c r="B98" s="1037"/>
      <c r="C98" s="1037"/>
      <c r="D98" s="1037"/>
      <c r="E98" s="1037"/>
      <c r="F98" s="1037"/>
      <c r="G98" s="1037"/>
      <c r="H98" s="1037"/>
      <c r="I98" s="1037"/>
      <c r="J98" s="1037"/>
      <c r="K98" s="1037"/>
      <c r="L98" s="1037"/>
      <c r="M98" s="1037"/>
      <c r="N98" s="1037"/>
      <c r="O98" s="1037"/>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5" t="s">
        <v>2376</v>
      </c>
    </row>
    <row r="142" spans="1:31" x14ac:dyDescent="0.25">
      <c r="A142" s="239"/>
      <c r="B142" s="602" t="s">
        <v>2323</v>
      </c>
      <c r="C142" s="603"/>
      <c r="D142" s="604" t="s">
        <v>2324</v>
      </c>
      <c r="E142" s="604"/>
      <c r="F142" s="604"/>
      <c r="G142" s="604"/>
      <c r="H142" s="604"/>
      <c r="I142" s="604"/>
      <c r="J142" s="604"/>
      <c r="K142" s="604"/>
      <c r="L142" s="605"/>
      <c r="M142" s="604"/>
      <c r="N142" s="604"/>
      <c r="O142" s="604"/>
      <c r="P142" s="1162" t="s">
        <v>2325</v>
      </c>
      <c r="Q142" s="1163"/>
      <c r="R142" s="1164"/>
      <c r="S142" s="1154" t="s">
        <v>2242</v>
      </c>
      <c r="T142" s="602" t="s">
        <v>2323</v>
      </c>
      <c r="U142" s="602" t="s">
        <v>2324</v>
      </c>
      <c r="V142" s="604"/>
      <c r="W142" s="604"/>
      <c r="X142" s="603"/>
      <c r="Y142" s="1154" t="s">
        <v>2326</v>
      </c>
      <c r="Z142" s="1162" t="s">
        <v>2327</v>
      </c>
      <c r="AA142" s="1163"/>
      <c r="AB142" s="1164"/>
      <c r="AC142" s="1156" t="s">
        <v>25</v>
      </c>
      <c r="AD142" s="1158" t="s">
        <v>2328</v>
      </c>
      <c r="AE142" s="1160" t="s">
        <v>2329</v>
      </c>
    </row>
    <row r="143" spans="1:31" ht="64.5" x14ac:dyDescent="0.25">
      <c r="A143" s="54"/>
      <c r="B143" s="606" t="s">
        <v>2205</v>
      </c>
      <c r="C143" s="607" t="s">
        <v>2330</v>
      </c>
      <c r="D143" s="608" t="s">
        <v>2200</v>
      </c>
      <c r="E143" s="608" t="s">
        <v>2331</v>
      </c>
      <c r="F143" s="608" t="s">
        <v>108</v>
      </c>
      <c r="G143" s="608" t="s">
        <v>2332</v>
      </c>
      <c r="H143" s="608" t="s">
        <v>232</v>
      </c>
      <c r="I143" s="608" t="s">
        <v>2207</v>
      </c>
      <c r="J143" s="608" t="s">
        <v>2197</v>
      </c>
      <c r="K143" s="608" t="s">
        <v>2333</v>
      </c>
      <c r="L143" s="608" t="s">
        <v>2334</v>
      </c>
      <c r="M143" s="608" t="s">
        <v>2335</v>
      </c>
      <c r="N143" s="608" t="s">
        <v>2336</v>
      </c>
      <c r="O143" s="608" t="s">
        <v>2196</v>
      </c>
      <c r="P143" s="606" t="s">
        <v>2337</v>
      </c>
      <c r="Q143" s="608" t="s">
        <v>2338</v>
      </c>
      <c r="R143" s="607" t="s">
        <v>2339</v>
      </c>
      <c r="S143" s="1155"/>
      <c r="T143" s="606" t="s">
        <v>2340</v>
      </c>
      <c r="U143" s="606" t="s">
        <v>2341</v>
      </c>
      <c r="V143" s="608" t="s">
        <v>2342</v>
      </c>
      <c r="W143" s="608" t="s">
        <v>2343</v>
      </c>
      <c r="X143" s="607" t="s">
        <v>2344</v>
      </c>
      <c r="Y143" s="1155"/>
      <c r="Z143" s="609" t="s">
        <v>2345</v>
      </c>
      <c r="AA143" s="610" t="s">
        <v>2268</v>
      </c>
      <c r="AB143" s="611" t="s">
        <v>2346</v>
      </c>
      <c r="AC143" s="1157"/>
      <c r="AD143" s="1159"/>
      <c r="AE143" s="1161"/>
    </row>
    <row r="144" spans="1:31" x14ac:dyDescent="0.25">
      <c r="A144" s="239" t="s">
        <v>2347</v>
      </c>
      <c r="B144" s="612"/>
      <c r="C144" s="613"/>
      <c r="D144" s="614">
        <v>0.86340162433430534</v>
      </c>
      <c r="E144" s="614">
        <v>0.75071004800412944</v>
      </c>
      <c r="F144" s="614">
        <v>0.80583557500656444</v>
      </c>
      <c r="G144" s="614">
        <v>0.70065754585884321</v>
      </c>
      <c r="H144" s="614">
        <v>0.88035087318703953</v>
      </c>
      <c r="I144" s="614">
        <v>0.99919999999999998</v>
      </c>
      <c r="J144" s="614">
        <v>1.0008441227818503</v>
      </c>
      <c r="K144" s="614">
        <v>1.0008439382074072</v>
      </c>
      <c r="L144" s="614">
        <v>0.97824695128556027</v>
      </c>
      <c r="M144" s="614">
        <v>0.98983193205687436</v>
      </c>
      <c r="N144" s="614">
        <v>0.98983193205687436</v>
      </c>
      <c r="O144" s="614">
        <v>1.0257000000000001</v>
      </c>
      <c r="P144" s="612">
        <v>0.85864262887861664</v>
      </c>
      <c r="Q144" s="614">
        <v>0.74837347646900176</v>
      </c>
      <c r="R144" s="613">
        <v>0.63788321791859337</v>
      </c>
      <c r="S144" s="614">
        <v>0.98981492656043646</v>
      </c>
      <c r="T144" s="612"/>
      <c r="U144" s="612">
        <v>0.86340162433430534</v>
      </c>
      <c r="V144" s="614">
        <v>0.88035087318703953</v>
      </c>
      <c r="W144" s="614">
        <v>0.99919999999999998</v>
      </c>
      <c r="X144" s="613">
        <v>1.0008441227818503</v>
      </c>
      <c r="Y144" s="615"/>
      <c r="Z144" s="615">
        <v>0.99919999999999998</v>
      </c>
      <c r="AA144" s="614">
        <v>0.77717633391733132</v>
      </c>
      <c r="AB144" s="613">
        <v>0.86270000000000002</v>
      </c>
      <c r="AC144" s="615">
        <v>0.89570434684854916</v>
      </c>
      <c r="AD144" s="614">
        <v>1.0257250888348834</v>
      </c>
      <c r="AE144" s="613">
        <v>0.91493342973013592</v>
      </c>
    </row>
    <row r="145" spans="1:31" x14ac:dyDescent="0.25">
      <c r="A145" s="54" t="s">
        <v>2348</v>
      </c>
      <c r="B145" s="616">
        <v>62542.194705720562</v>
      </c>
      <c r="C145" s="617">
        <v>44455.689081475713</v>
      </c>
      <c r="D145" s="251">
        <v>173338.03811132806</v>
      </c>
      <c r="E145" s="618">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6">
        <v>249855.0941248223</v>
      </c>
      <c r="Q145" s="251">
        <v>313135.33318033244</v>
      </c>
      <c r="R145" s="617">
        <v>395249.18052444007</v>
      </c>
      <c r="S145" s="251">
        <v>128544.38043066607</v>
      </c>
      <c r="T145" s="616">
        <v>43764.986908334249</v>
      </c>
      <c r="U145" s="616">
        <v>175150.45529842444</v>
      </c>
      <c r="V145" s="251">
        <v>139317.84293533972</v>
      </c>
      <c r="W145" s="251">
        <v>69006.970214048197</v>
      </c>
      <c r="X145" s="617">
        <v>120355.99327211409</v>
      </c>
      <c r="Y145" s="616">
        <v>94744.734714235019</v>
      </c>
      <c r="Z145" s="616">
        <v>62047.358828882454</v>
      </c>
      <c r="AA145" s="251">
        <v>132721.08627450187</v>
      </c>
      <c r="AB145" s="617">
        <v>111724.96806857362</v>
      </c>
      <c r="AC145" s="616">
        <v>133338.68556037793</v>
      </c>
      <c r="AD145" s="251">
        <v>48088.66907125141</v>
      </c>
      <c r="AE145" s="617">
        <v>143018.17257743003</v>
      </c>
    </row>
    <row r="146" spans="1:31" x14ac:dyDescent="0.25">
      <c r="A146" s="54" t="s">
        <v>2349</v>
      </c>
      <c r="B146" s="616">
        <v>58507.798279955925</v>
      </c>
      <c r="C146" s="617">
        <v>42277.22632714572</v>
      </c>
      <c r="D146" s="251">
        <v>170152.42814423327</v>
      </c>
      <c r="E146" s="618">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6">
        <v>225731.66354882097</v>
      </c>
      <c r="Q146" s="251">
        <v>253306.0112656311</v>
      </c>
      <c r="R146" s="617">
        <v>295419.29981092858</v>
      </c>
      <c r="S146" s="251">
        <v>126202.6234972832</v>
      </c>
      <c r="T146" s="616">
        <v>40001.712365089581</v>
      </c>
      <c r="U146" s="616">
        <v>172364.26350856939</v>
      </c>
      <c r="V146" s="251">
        <v>137105.17833008838</v>
      </c>
      <c r="W146" s="251">
        <v>68284.055579869135</v>
      </c>
      <c r="X146" s="617">
        <v>118702.93495336632</v>
      </c>
      <c r="Y146" s="616">
        <v>93856.973849059621</v>
      </c>
      <c r="Z146" s="616">
        <v>61355.793098252499</v>
      </c>
      <c r="AA146" s="251">
        <v>130246.93548776722</v>
      </c>
      <c r="AB146" s="617">
        <v>109888.84593530388</v>
      </c>
      <c r="AC146" s="616">
        <v>130373.63963291426</v>
      </c>
      <c r="AD146" s="251">
        <v>47895.244721983676</v>
      </c>
      <c r="AE146" s="617">
        <v>141154.81324300845</v>
      </c>
    </row>
    <row r="147" spans="1:31" x14ac:dyDescent="0.25">
      <c r="A147" s="54" t="s">
        <v>2221</v>
      </c>
      <c r="B147" s="616">
        <v>5522.0215761373074</v>
      </c>
      <c r="C147" s="617">
        <v>3118.5970341255579</v>
      </c>
      <c r="D147" s="251">
        <v>4514.8956077114335</v>
      </c>
      <c r="E147" s="618">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6">
        <v>5623.1808180770304</v>
      </c>
      <c r="Q147" s="251">
        <v>9441.5500518497138</v>
      </c>
      <c r="R147" s="617">
        <v>13907.55286955028</v>
      </c>
      <c r="S147" s="251">
        <v>3346.2945635562519</v>
      </c>
      <c r="T147" s="616">
        <v>5392.156873773617</v>
      </c>
      <c r="U147" s="616">
        <v>3941.4839066663276</v>
      </c>
      <c r="V147" s="251">
        <v>3125.7132626759858</v>
      </c>
      <c r="W147" s="251">
        <v>1027.4550839582048</v>
      </c>
      <c r="X147" s="617">
        <v>2359.735627609231</v>
      </c>
      <c r="Y147" s="616">
        <v>1244.0054732701622</v>
      </c>
      <c r="Z147" s="616">
        <v>984.1672602775958</v>
      </c>
      <c r="AA147" s="251">
        <v>3478.6158292327564</v>
      </c>
      <c r="AB147" s="617">
        <v>2598.1400241819547</v>
      </c>
      <c r="AC147" s="616">
        <v>4210.7606575529617</v>
      </c>
      <c r="AD147" s="251">
        <v>273.32499174937539</v>
      </c>
      <c r="AE147" s="617">
        <v>2631.986081440517</v>
      </c>
    </row>
    <row r="148" spans="1:31" x14ac:dyDescent="0.25">
      <c r="A148" s="54" t="s">
        <v>250</v>
      </c>
      <c r="B148" s="616">
        <v>42426.363096203786</v>
      </c>
      <c r="C148" s="617">
        <v>23603.228397664294</v>
      </c>
      <c r="D148" s="251">
        <v>102033.512318911</v>
      </c>
      <c r="E148" s="618">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6">
        <v>184482.63946048077</v>
      </c>
      <c r="Q148" s="251">
        <v>217670.13748451945</v>
      </c>
      <c r="R148" s="617">
        <v>254404.22798199626</v>
      </c>
      <c r="S148" s="251">
        <v>93120.926256927196</v>
      </c>
      <c r="T148" s="616">
        <v>26590.114561133469</v>
      </c>
      <c r="U148" s="616">
        <v>101333.58170103079</v>
      </c>
      <c r="V148" s="251">
        <v>76006.658205201675</v>
      </c>
      <c r="W148" s="251">
        <v>34159.299998244278</v>
      </c>
      <c r="X148" s="617">
        <v>77941.391001891607</v>
      </c>
      <c r="Y148" s="616">
        <v>82231.1108622592</v>
      </c>
      <c r="Z148" s="616">
        <v>33656.100345715138</v>
      </c>
      <c r="AA148" s="251">
        <v>87024.323665295698</v>
      </c>
      <c r="AB148" s="617">
        <v>67183.117179072273</v>
      </c>
      <c r="AC148" s="616">
        <v>78452.583526313334</v>
      </c>
      <c r="AD148" s="251">
        <v>6693.0027777388386</v>
      </c>
      <c r="AE148" s="617">
        <v>72865.388636153366</v>
      </c>
    </row>
    <row r="149" spans="1:31" x14ac:dyDescent="0.25">
      <c r="A149" s="54" t="s">
        <v>2350</v>
      </c>
      <c r="B149" s="616">
        <v>10559.413607614832</v>
      </c>
      <c r="C149" s="617">
        <v>15555.400895355864</v>
      </c>
      <c r="D149" s="251">
        <v>63604.020217610851</v>
      </c>
      <c r="E149" s="618">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6">
        <v>35625.843270263184</v>
      </c>
      <c r="Q149" s="251">
        <v>26194.323729261934</v>
      </c>
      <c r="R149" s="617">
        <v>27107.518959382025</v>
      </c>
      <c r="S149" s="251">
        <v>29735.40267679976</v>
      </c>
      <c r="T149" s="616">
        <v>8019.4409301824962</v>
      </c>
      <c r="U149" s="616">
        <v>67089.197900872256</v>
      </c>
      <c r="V149" s="251">
        <v>57972.806862210709</v>
      </c>
      <c r="W149" s="251">
        <v>33097.300497666649</v>
      </c>
      <c r="X149" s="617">
        <v>38401.808323865473</v>
      </c>
      <c r="Y149" s="616">
        <v>10381.857513530249</v>
      </c>
      <c r="Z149" s="616">
        <v>26715.525492259767</v>
      </c>
      <c r="AA149" s="251">
        <v>39743.995993238757</v>
      </c>
      <c r="AB149" s="617">
        <v>40107.588732049648</v>
      </c>
      <c r="AC149" s="616">
        <v>47710.295449047968</v>
      </c>
      <c r="AD149" s="251">
        <v>40928.916952495463</v>
      </c>
      <c r="AE149" s="617">
        <v>65657.43852541456</v>
      </c>
    </row>
    <row r="150" spans="1:31" x14ac:dyDescent="0.25">
      <c r="A150" s="54" t="s">
        <v>2351</v>
      </c>
      <c r="B150" s="612">
        <v>18.689131581536152</v>
      </c>
      <c r="C150" s="613">
        <v>20.725598815976237</v>
      </c>
      <c r="D150" s="614">
        <v>11.243441611256399</v>
      </c>
      <c r="E150" s="619">
        <v>14.030821316818789</v>
      </c>
      <c r="F150" s="614">
        <v>37.677384508969354</v>
      </c>
      <c r="G150" s="614">
        <v>40.278919720957546</v>
      </c>
      <c r="H150" s="614">
        <v>9.5840319926163922</v>
      </c>
      <c r="I150" s="614">
        <v>2.7219150854182668</v>
      </c>
      <c r="J150" s="614">
        <v>4.6044025122605055</v>
      </c>
      <c r="K150" s="614">
        <v>4.6050451142199167</v>
      </c>
      <c r="L150" s="614">
        <v>5.5382784409906609</v>
      </c>
      <c r="M150" s="614">
        <v>2.9071465697652497</v>
      </c>
      <c r="N150" s="614">
        <v>3.0916596575223219</v>
      </c>
      <c r="O150" s="614">
        <v>2.7115285544965335</v>
      </c>
      <c r="P150" s="612">
        <v>35.936492553809657</v>
      </c>
      <c r="Q150" s="614">
        <v>79.35345738601184</v>
      </c>
      <c r="R150" s="613">
        <v>127.86701547776102</v>
      </c>
      <c r="S150" s="614">
        <v>3.4737889505839079</v>
      </c>
      <c r="T150" s="612">
        <v>21.202937763756051</v>
      </c>
      <c r="U150" s="612">
        <v>11.151092775776915</v>
      </c>
      <c r="V150" s="614">
        <v>9.2192493435383263</v>
      </c>
      <c r="W150" s="614">
        <v>2.6800460021733246</v>
      </c>
      <c r="X150" s="613">
        <v>4.5734635448133441</v>
      </c>
      <c r="Y150" s="612">
        <v>5.2664683055544694</v>
      </c>
      <c r="Z150" s="612">
        <v>2.5475197142333585</v>
      </c>
      <c r="AA150" s="614">
        <v>11.459403377084751</v>
      </c>
      <c r="AB150" s="613">
        <v>7.344151982525311</v>
      </c>
      <c r="AC150" s="612">
        <v>8.927660598854315</v>
      </c>
      <c r="AD150" s="614">
        <v>2.0443007229797234</v>
      </c>
      <c r="AE150" s="613">
        <v>8.4314452337101429</v>
      </c>
    </row>
    <row r="151" spans="1:31" x14ac:dyDescent="0.25">
      <c r="A151" s="54" t="s">
        <v>254</v>
      </c>
      <c r="B151" s="612">
        <v>3.7140376581436518</v>
      </c>
      <c r="C151" s="613">
        <v>4.480715663049069</v>
      </c>
      <c r="D151" s="614">
        <v>24.092225423277366</v>
      </c>
      <c r="E151" s="614">
        <v>25.247666963327209</v>
      </c>
      <c r="F151" s="614">
        <v>26.525266376289096</v>
      </c>
      <c r="G151" s="614">
        <v>27.603670529779567</v>
      </c>
      <c r="H151" s="614">
        <v>4.9033058189870138</v>
      </c>
      <c r="I151" s="614">
        <v>2.3051182507923889</v>
      </c>
      <c r="J151" s="614">
        <v>3.7614772362757516</v>
      </c>
      <c r="K151" s="614">
        <v>3.7617535910522824</v>
      </c>
      <c r="L151" s="614">
        <v>4.5347089700598406</v>
      </c>
      <c r="M151" s="614">
        <v>22.193564739877779</v>
      </c>
      <c r="N151" s="614">
        <v>22.740127736863851</v>
      </c>
      <c r="O151" s="614">
        <v>2.5246868470398156</v>
      </c>
      <c r="P151" s="612">
        <v>27.490199711157246</v>
      </c>
      <c r="Q151" s="614">
        <v>31.217790517076065</v>
      </c>
      <c r="R151" s="613">
        <v>35.549361519579989</v>
      </c>
      <c r="S151" s="614">
        <v>22.797194683750078</v>
      </c>
      <c r="T151" s="612">
        <v>3.7865259100003907</v>
      </c>
      <c r="U151" s="612">
        <v>24.472760659892455</v>
      </c>
      <c r="V151" s="614">
        <v>5.2236297118524515</v>
      </c>
      <c r="W151" s="614">
        <v>2.589017911863797</v>
      </c>
      <c r="X151" s="613">
        <v>4.1334572763016695</v>
      </c>
      <c r="Y151" s="612">
        <v>8.6349259525860731</v>
      </c>
      <c r="Z151" s="612">
        <v>2.1142460650114661</v>
      </c>
      <c r="AA151" s="614">
        <v>4.0748550151682981</v>
      </c>
      <c r="AB151" s="613">
        <v>2.8445653039281424</v>
      </c>
      <c r="AC151" s="612">
        <v>4.7790785872179944</v>
      </c>
      <c r="AD151" s="614">
        <v>1.775171703668007</v>
      </c>
      <c r="AE151" s="613">
        <v>3.6290528736469532</v>
      </c>
    </row>
    <row r="152" spans="1:31" x14ac:dyDescent="0.25">
      <c r="A152" s="54" t="s">
        <v>251</v>
      </c>
      <c r="B152" s="612">
        <v>7.5372286138659108</v>
      </c>
      <c r="C152" s="613">
        <v>8.4657507189683781</v>
      </c>
      <c r="D152" s="614">
        <v>7.7120023201713561</v>
      </c>
      <c r="E152" s="614">
        <v>9.5366952141985788</v>
      </c>
      <c r="F152" s="614">
        <v>10.068767481478107</v>
      </c>
      <c r="G152" s="614">
        <v>11.77180162691711</v>
      </c>
      <c r="H152" s="614">
        <v>7.0689412113593457</v>
      </c>
      <c r="I152" s="614">
        <v>3.0201188076849794</v>
      </c>
      <c r="J152" s="614">
        <v>4.7228602885841156</v>
      </c>
      <c r="K152" s="614">
        <v>4.7249605302323712</v>
      </c>
      <c r="L152" s="614">
        <v>8.3092661588133705</v>
      </c>
      <c r="M152" s="614">
        <v>4.68824282344168</v>
      </c>
      <c r="N152" s="614">
        <v>5.2055648632277274</v>
      </c>
      <c r="O152" s="614">
        <v>3.3082518379220618</v>
      </c>
      <c r="P152" s="612">
        <v>10.775250072144861</v>
      </c>
      <c r="Q152" s="614">
        <v>14.432673280956749</v>
      </c>
      <c r="R152" s="613">
        <v>18.627893203627348</v>
      </c>
      <c r="S152" s="614">
        <v>5.6385599815905678</v>
      </c>
      <c r="T152" s="612">
        <v>7.3082688295601681</v>
      </c>
      <c r="U152" s="612">
        <v>8.2997279080877711</v>
      </c>
      <c r="V152" s="614">
        <v>7.6576299417147924</v>
      </c>
      <c r="W152" s="614">
        <v>3.5785629921032123</v>
      </c>
      <c r="X152" s="613">
        <v>5.3147213245508702</v>
      </c>
      <c r="Y152" s="612">
        <v>16.442984160125128</v>
      </c>
      <c r="Z152" s="612">
        <v>2.3945511932638399</v>
      </c>
      <c r="AA152" s="614">
        <v>7.6281117095695938</v>
      </c>
      <c r="AB152" s="613">
        <v>4.779199922563234</v>
      </c>
      <c r="AC152" s="612">
        <v>6.8765780759616337</v>
      </c>
      <c r="AD152" s="614">
        <v>1.2034631071081012</v>
      </c>
      <c r="AE152" s="613">
        <v>6.3871242637205263</v>
      </c>
    </row>
    <row r="153" spans="1:31" x14ac:dyDescent="0.25">
      <c r="A153" s="54" t="s">
        <v>2352</v>
      </c>
      <c r="B153" s="612">
        <v>11.493596315358969</v>
      </c>
      <c r="C153" s="613">
        <v>28.636330664445246</v>
      </c>
      <c r="D153" s="614">
        <v>11.429682201193827</v>
      </c>
      <c r="E153" s="614">
        <v>17.380897956260409</v>
      </c>
      <c r="F153" s="614">
        <v>16.56919480691958</v>
      </c>
      <c r="G153" s="614">
        <v>22.12362189485766</v>
      </c>
      <c r="H153" s="614">
        <v>9.5568610825422589</v>
      </c>
      <c r="I153" s="614">
        <v>7.6912178192797249</v>
      </c>
      <c r="J153" s="614">
        <v>6.9399537389913704</v>
      </c>
      <c r="K153" s="614">
        <v>6.9454963639267424</v>
      </c>
      <c r="L153" s="614">
        <v>11.394989290405684</v>
      </c>
      <c r="M153" s="614">
        <v>7.6631159017711719</v>
      </c>
      <c r="N153" s="614">
        <v>13.59871280089089</v>
      </c>
      <c r="O153" s="614">
        <v>4.3749247624378054</v>
      </c>
      <c r="P153" s="612">
        <v>17.066011306956707</v>
      </c>
      <c r="Q153" s="614">
        <v>25.234318191053454</v>
      </c>
      <c r="R153" s="613">
        <v>34.511563457395951</v>
      </c>
      <c r="S153" s="614">
        <v>8.9904313897526489</v>
      </c>
      <c r="T153" s="612">
        <v>11.339780609400105</v>
      </c>
      <c r="U153" s="612">
        <v>20.765098568779699</v>
      </c>
      <c r="V153" s="614">
        <v>18.766994617278669</v>
      </c>
      <c r="W153" s="614">
        <v>14.464513044569397</v>
      </c>
      <c r="X153" s="613">
        <v>16.053426347637256</v>
      </c>
      <c r="Y153" s="612">
        <v>21.997917382867755</v>
      </c>
      <c r="Z153" s="612">
        <v>3.1523914304818832</v>
      </c>
      <c r="AA153" s="614">
        <v>9.5953213093742757</v>
      </c>
      <c r="AB153" s="613">
        <v>6.6307231659577823</v>
      </c>
      <c r="AC153" s="612">
        <v>9.2880983858345214</v>
      </c>
      <c r="AD153" s="614">
        <v>1.5876416851316357</v>
      </c>
      <c r="AE153" s="613">
        <v>7.711184931628468</v>
      </c>
    </row>
    <row r="154" spans="1:31" x14ac:dyDescent="0.25">
      <c r="A154" s="54" t="s">
        <v>252</v>
      </c>
      <c r="B154" s="612">
        <v>0.56490922820746026</v>
      </c>
      <c r="C154" s="613">
        <v>2.1420005616419706</v>
      </c>
      <c r="D154" s="614">
        <v>1.3891425271156181</v>
      </c>
      <c r="E154" s="614">
        <v>1.9787753572299871</v>
      </c>
      <c r="F154" s="614">
        <v>2.362499425563962</v>
      </c>
      <c r="G154" s="614">
        <v>2.9128193430928468</v>
      </c>
      <c r="H154" s="614">
        <v>1.3624080692416309</v>
      </c>
      <c r="I154" s="614">
        <v>0.83626832084615699</v>
      </c>
      <c r="J154" s="614">
        <v>0.72927800226226891</v>
      </c>
      <c r="K154" s="614">
        <v>0.72954925040465635</v>
      </c>
      <c r="L154" s="614">
        <v>1.1076239919529238</v>
      </c>
      <c r="M154" s="614">
        <v>0.74811607721894546</v>
      </c>
      <c r="N154" s="614">
        <v>0.73151928115974174</v>
      </c>
      <c r="O154" s="614">
        <v>0.66680573605472415</v>
      </c>
      <c r="P154" s="612">
        <v>2.2578043340474001</v>
      </c>
      <c r="Q154" s="614">
        <v>3.8136813124093099</v>
      </c>
      <c r="R154" s="613">
        <v>5.592342084591956</v>
      </c>
      <c r="S154" s="614">
        <v>0.8995836570560376</v>
      </c>
      <c r="T154" s="612">
        <v>0.56755465814642037</v>
      </c>
      <c r="U154" s="612">
        <v>2.255827153896369</v>
      </c>
      <c r="V154" s="614">
        <v>2.2309593512068808</v>
      </c>
      <c r="W154" s="614">
        <v>1.4802449802849529</v>
      </c>
      <c r="X154" s="613">
        <v>1.5798891689599657</v>
      </c>
      <c r="Y154" s="612">
        <v>0.50663814227213555</v>
      </c>
      <c r="Z154" s="612">
        <v>0.48792884925008906</v>
      </c>
      <c r="AA154" s="614">
        <v>1.2641396873936506</v>
      </c>
      <c r="AB154" s="613">
        <v>0.87084226432999345</v>
      </c>
      <c r="AC154" s="612">
        <v>1.2951940978134784</v>
      </c>
      <c r="AD154" s="614">
        <v>0.2871427885369815</v>
      </c>
      <c r="AE154" s="613">
        <v>1.3500413332747552</v>
      </c>
    </row>
    <row r="155" spans="1:31" x14ac:dyDescent="0.25">
      <c r="A155" s="54" t="s">
        <v>253</v>
      </c>
      <c r="B155" s="612">
        <v>0.47585912140455749</v>
      </c>
      <c r="C155" s="613">
        <v>1.9404963008120164</v>
      </c>
      <c r="D155" s="614">
        <v>1.1924266677468391</v>
      </c>
      <c r="E155" s="614">
        <v>1.7492987492486598</v>
      </c>
      <c r="F155" s="614">
        <v>1.5044195582364963</v>
      </c>
      <c r="G155" s="614">
        <v>2.0241630024859933</v>
      </c>
      <c r="H155" s="614">
        <v>1.1639843627061279</v>
      </c>
      <c r="I155" s="614">
        <v>0.74265511422225217</v>
      </c>
      <c r="J155" s="614">
        <v>0.61823736352280001</v>
      </c>
      <c r="K155" s="614">
        <v>0.61846051680366831</v>
      </c>
      <c r="L155" s="614">
        <v>0.9720374048406929</v>
      </c>
      <c r="M155" s="614">
        <v>0.65703508446004544</v>
      </c>
      <c r="N155" s="614">
        <v>0.66066186810831384</v>
      </c>
      <c r="O155" s="614">
        <v>0.54159380216830133</v>
      </c>
      <c r="P155" s="612">
        <v>1.5252486449744234</v>
      </c>
      <c r="Q155" s="614">
        <v>1.9928632379357059</v>
      </c>
      <c r="R155" s="613">
        <v>2.5475070784130569</v>
      </c>
      <c r="S155" s="614">
        <v>0.7644226115891688</v>
      </c>
      <c r="T155" s="612">
        <v>0.47694577379123831</v>
      </c>
      <c r="U155" s="612">
        <v>1.994392314240361</v>
      </c>
      <c r="V155" s="614">
        <v>1.9753572936235984</v>
      </c>
      <c r="W155" s="614">
        <v>1.33301451280108</v>
      </c>
      <c r="X155" s="613">
        <v>1.4036782866551203</v>
      </c>
      <c r="Y155" s="612">
        <v>0.47044601818928766</v>
      </c>
      <c r="Z155" s="612">
        <v>0.42377744227141961</v>
      </c>
      <c r="AA155" s="614">
        <v>1.0860839938015285</v>
      </c>
      <c r="AB155" s="613">
        <v>0.74948035723740203</v>
      </c>
      <c r="AC155" s="612">
        <v>1.107319719653721</v>
      </c>
      <c r="AD155" s="614">
        <v>0.23390268502906175</v>
      </c>
      <c r="AE155" s="613">
        <v>1.1672243044257604</v>
      </c>
    </row>
    <row r="156" spans="1:31" x14ac:dyDescent="0.25">
      <c r="A156" s="54" t="s">
        <v>898</v>
      </c>
      <c r="B156" s="612">
        <v>2.6651775385811116</v>
      </c>
      <c r="C156" s="613">
        <v>15.799142958681035</v>
      </c>
      <c r="D156" s="614">
        <v>3.5902951431923356</v>
      </c>
      <c r="E156" s="614">
        <v>7.3004692688797794</v>
      </c>
      <c r="F156" s="614">
        <v>4.768552555257398</v>
      </c>
      <c r="G156" s="614">
        <v>8.2313562096436037</v>
      </c>
      <c r="H156" s="614">
        <v>4.3784162001888269</v>
      </c>
      <c r="I156" s="614">
        <v>3.6349424865010933</v>
      </c>
      <c r="J156" s="614">
        <v>2.0939573390528752</v>
      </c>
      <c r="K156" s="614">
        <v>2.0948771936221009</v>
      </c>
      <c r="L156" s="614">
        <v>3.3298380631934621</v>
      </c>
      <c r="M156" s="614">
        <v>2.8413045315261312</v>
      </c>
      <c r="N156" s="614">
        <v>1.7771770757022574</v>
      </c>
      <c r="O156" s="614">
        <v>1.5397571933034246</v>
      </c>
      <c r="P156" s="612">
        <v>5.0424474454317023</v>
      </c>
      <c r="Q156" s="614">
        <v>6.867941767458059</v>
      </c>
      <c r="R156" s="613">
        <v>8.9742223935503205</v>
      </c>
      <c r="S156" s="614">
        <v>3.2683076242855855</v>
      </c>
      <c r="T156" s="612">
        <v>2.8219042621344084</v>
      </c>
      <c r="U156" s="612">
        <v>10.749504662657596</v>
      </c>
      <c r="V156" s="614">
        <v>11.541235026470714</v>
      </c>
      <c r="W156" s="614">
        <v>8.969055029063977</v>
      </c>
      <c r="X156" s="613">
        <v>9.1080129935403313</v>
      </c>
      <c r="Y156" s="612">
        <v>8.1581101328465415</v>
      </c>
      <c r="Z156" s="612">
        <v>1.1265688485104075</v>
      </c>
      <c r="AA156" s="614">
        <v>4.5738263775505743</v>
      </c>
      <c r="AB156" s="613">
        <v>2.1658324060446037</v>
      </c>
      <c r="AC156" s="612">
        <v>4.2282031233327837</v>
      </c>
      <c r="AD156" s="614">
        <v>0.72126971186551203</v>
      </c>
      <c r="AE156" s="613">
        <v>4.0431870543034254</v>
      </c>
    </row>
    <row r="157" spans="1:31" x14ac:dyDescent="0.25">
      <c r="A157" s="54" t="s">
        <v>899</v>
      </c>
      <c r="B157" s="612">
        <v>8.5929625989135644E-2</v>
      </c>
      <c r="C157" s="613">
        <v>0.31056806714106922</v>
      </c>
      <c r="D157" s="614">
        <v>0.14510257637422158</v>
      </c>
      <c r="E157" s="614">
        <v>0.21108958768678679</v>
      </c>
      <c r="F157" s="614">
        <v>0.18214660536352198</v>
      </c>
      <c r="G157" s="614">
        <v>0.24373402853408185</v>
      </c>
      <c r="H157" s="614">
        <v>0.1007411735680516</v>
      </c>
      <c r="I157" s="614">
        <v>9.3334122512991891E-2</v>
      </c>
      <c r="J157" s="614">
        <v>8.0837425631492668E-2</v>
      </c>
      <c r="K157" s="614">
        <v>8.0868345818885481E-2</v>
      </c>
      <c r="L157" s="614">
        <v>0.14272664638795157</v>
      </c>
      <c r="M157" s="614">
        <v>0.11394084552509905</v>
      </c>
      <c r="N157" s="614">
        <v>0.10760350983216041</v>
      </c>
      <c r="O157" s="614">
        <v>6.9685440154079209E-2</v>
      </c>
      <c r="P157" s="612">
        <v>0.18532511114732511</v>
      </c>
      <c r="Q157" s="614">
        <v>0.24069313324550143</v>
      </c>
      <c r="R157" s="613">
        <v>0.30587891431836495</v>
      </c>
      <c r="S157" s="614">
        <v>0.11802343641154084</v>
      </c>
      <c r="T157" s="612">
        <v>8.8520532415936048E-2</v>
      </c>
      <c r="U157" s="612">
        <v>0.26611361889020535</v>
      </c>
      <c r="V157" s="614">
        <v>0.2250407552427984</v>
      </c>
      <c r="W157" s="614">
        <v>0.18231136336190901</v>
      </c>
      <c r="X157" s="613">
        <v>0.1991620674529469</v>
      </c>
      <c r="Y157" s="612">
        <v>8.5645166331350359E-2</v>
      </c>
      <c r="Z157" s="612">
        <v>4.6033892634064114E-2</v>
      </c>
      <c r="AA157" s="614">
        <v>0.11458168151936002</v>
      </c>
      <c r="AB157" s="613">
        <v>9.0475813051877504E-2</v>
      </c>
      <c r="AC157" s="612">
        <v>9.9004839442854778E-2</v>
      </c>
      <c r="AD157" s="614">
        <v>3.2499249328411153E-2</v>
      </c>
      <c r="AE157" s="613">
        <v>9.1258644162547808E-2</v>
      </c>
    </row>
    <row r="158" spans="1:31" x14ac:dyDescent="0.25">
      <c r="A158" s="54" t="s">
        <v>900</v>
      </c>
      <c r="B158" s="612">
        <v>0.17271074080892998</v>
      </c>
      <c r="C158" s="613">
        <v>0.74282415412591518</v>
      </c>
      <c r="D158" s="614">
        <v>0.21497811849747248</v>
      </c>
      <c r="E158" s="614">
        <v>0.36983745883547647</v>
      </c>
      <c r="F158" s="614">
        <v>0.2701743323769179</v>
      </c>
      <c r="G158" s="614">
        <v>0.41470865111025185</v>
      </c>
      <c r="H158" s="614">
        <v>0.16004839222236572</v>
      </c>
      <c r="I158" s="614">
        <v>0.18550712199064218</v>
      </c>
      <c r="J158" s="614">
        <v>0.12221015845527242</v>
      </c>
      <c r="K158" s="614">
        <v>0.1222949649319806</v>
      </c>
      <c r="L158" s="614">
        <v>0.19898193819507037</v>
      </c>
      <c r="M158" s="614">
        <v>0.17759382049858008</v>
      </c>
      <c r="N158" s="614">
        <v>0.23799542275512586</v>
      </c>
      <c r="O158" s="614">
        <v>9.1188239821542158E-2</v>
      </c>
      <c r="P158" s="612">
        <v>0.27645434865622587</v>
      </c>
      <c r="Q158" s="614">
        <v>0.35971710149598812</v>
      </c>
      <c r="R158" s="613">
        <v>0.45719082831907765</v>
      </c>
      <c r="S158" s="614">
        <v>0.18744593532271653</v>
      </c>
      <c r="T158" s="612">
        <v>0.16883110456604758</v>
      </c>
      <c r="U158" s="612">
        <v>0.52819964168676847</v>
      </c>
      <c r="V158" s="614">
        <v>0.47226707040608495</v>
      </c>
      <c r="W158" s="614">
        <v>0.41499909238294713</v>
      </c>
      <c r="X158" s="613">
        <v>0.42815897542967674</v>
      </c>
      <c r="Y158" s="612">
        <v>0.2071680327757156</v>
      </c>
      <c r="Z158" s="612">
        <v>6.1380698330112671E-2</v>
      </c>
      <c r="AA158" s="614">
        <v>0.16629816040382039</v>
      </c>
      <c r="AB158" s="613">
        <v>0.12663921846278126</v>
      </c>
      <c r="AC158" s="612">
        <v>0.1555730150960524</v>
      </c>
      <c r="AD158" s="614">
        <v>4.1060461033483077E-2</v>
      </c>
      <c r="AE158" s="613">
        <v>0.12947584323480282</v>
      </c>
    </row>
    <row r="159" spans="1:31" x14ac:dyDescent="0.25">
      <c r="A159" s="54" t="s">
        <v>14</v>
      </c>
      <c r="B159" s="612">
        <v>91.247602563329494</v>
      </c>
      <c r="C159" s="613">
        <v>87.93976689455846</v>
      </c>
      <c r="D159" s="614">
        <v>36.358408808834412</v>
      </c>
      <c r="E159" s="614">
        <v>48.851388604895753</v>
      </c>
      <c r="F159" s="614">
        <v>40.317022985993063</v>
      </c>
      <c r="G159" s="614">
        <v>51.977051498525107</v>
      </c>
      <c r="H159" s="614">
        <v>30.006606697210419</v>
      </c>
      <c r="I159" s="614">
        <v>9.244496514861849</v>
      </c>
      <c r="J159" s="614">
        <v>18.195118853517428</v>
      </c>
      <c r="K159" s="614">
        <v>18.19686091474696</v>
      </c>
      <c r="L159" s="614">
        <v>35.408700276396928</v>
      </c>
      <c r="M159" s="614">
        <v>15.674089805965211</v>
      </c>
      <c r="N159" s="614">
        <v>17.215764035868339</v>
      </c>
      <c r="O159" s="614">
        <v>9.8344864125171831</v>
      </c>
      <c r="P159" s="612">
        <v>41.168985927223574</v>
      </c>
      <c r="Q159" s="614">
        <v>47.590212453221362</v>
      </c>
      <c r="R159" s="613">
        <v>54.736879301064633</v>
      </c>
      <c r="S159" s="614">
        <v>21.593525497473458</v>
      </c>
      <c r="T159" s="612">
        <v>88.114027351201415</v>
      </c>
      <c r="U159" s="612">
        <v>36.464580800626486</v>
      </c>
      <c r="V159" s="614">
        <v>29.630838340455519</v>
      </c>
      <c r="W159" s="614">
        <v>9.3964139055328939</v>
      </c>
      <c r="X159" s="613">
        <v>18.376843418663544</v>
      </c>
      <c r="Y159" s="612">
        <v>111.9123186584455</v>
      </c>
      <c r="Z159" s="612">
        <v>8.7488952692489743</v>
      </c>
      <c r="AA159" s="614">
        <v>38.666623173194665</v>
      </c>
      <c r="AB159" s="613">
        <v>23.880107113722051</v>
      </c>
      <c r="AC159" s="612">
        <v>28.112244050061904</v>
      </c>
      <c r="AD159" s="614">
        <v>2.6359285261523304</v>
      </c>
      <c r="AE159" s="613">
        <v>26.762548184170484</v>
      </c>
    </row>
    <row r="160" spans="1:31" x14ac:dyDescent="0.25">
      <c r="A160" s="54" t="s">
        <v>10</v>
      </c>
      <c r="B160" s="612">
        <v>8.1328795833971235E-2</v>
      </c>
      <c r="C160" s="613">
        <v>5.9841444788553799E-2</v>
      </c>
      <c r="D160" s="614">
        <v>0.22288980377229123</v>
      </c>
      <c r="E160" s="614">
        <v>0.26032488858367619</v>
      </c>
      <c r="F160" s="614">
        <v>2.7865700988665258</v>
      </c>
      <c r="G160" s="614">
        <v>2.8215092537675384</v>
      </c>
      <c r="H160" s="614">
        <v>0.17933661744240537</v>
      </c>
      <c r="I160" s="614">
        <v>8.1428332536417555E-2</v>
      </c>
      <c r="J160" s="614">
        <v>0.15258457735577038</v>
      </c>
      <c r="K160" s="614">
        <v>0.15260561939207903</v>
      </c>
      <c r="L160" s="614">
        <v>0.2979951582314474</v>
      </c>
      <c r="M160" s="614">
        <v>0.14547749159848</v>
      </c>
      <c r="N160" s="614">
        <v>0.18334019123780709</v>
      </c>
      <c r="O160" s="614">
        <v>9.8575725105922135E-2</v>
      </c>
      <c r="P160" s="612">
        <v>2.6930020386215867</v>
      </c>
      <c r="Q160" s="614">
        <v>6.8979908296465826</v>
      </c>
      <c r="R160" s="613">
        <v>11.595746774852623</v>
      </c>
      <c r="S160" s="614">
        <v>0.18109258394545502</v>
      </c>
      <c r="T160" s="612">
        <v>5.2976150590869756E-2</v>
      </c>
      <c r="U160" s="612">
        <v>0.22841315112064728</v>
      </c>
      <c r="V160" s="614">
        <v>0.17920481526594484</v>
      </c>
      <c r="W160" s="614">
        <v>8.4935581700989388E-2</v>
      </c>
      <c r="X160" s="613">
        <v>0.15859235821596745</v>
      </c>
      <c r="Y160" s="612">
        <v>0.17421375233966102</v>
      </c>
      <c r="Z160" s="612">
        <v>7.2983540377019956E-2</v>
      </c>
      <c r="AA160" s="614">
        <v>0.18205568092293137</v>
      </c>
      <c r="AB160" s="613">
        <v>0.14454780745413143</v>
      </c>
      <c r="AC160" s="612">
        <v>0.17656408536748389</v>
      </c>
      <c r="AD160" s="614">
        <v>2.7444358280677157E-2</v>
      </c>
      <c r="AE160" s="613">
        <v>0.16661275675519846</v>
      </c>
    </row>
    <row r="161" spans="1:37" x14ac:dyDescent="0.25">
      <c r="A161" s="54" t="s">
        <v>8</v>
      </c>
      <c r="B161" s="616">
        <v>5128.797594074691</v>
      </c>
      <c r="C161" s="617">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6">
        <v>15517.213437746652</v>
      </c>
      <c r="Q161" s="251">
        <v>18400.810913114565</v>
      </c>
      <c r="R161" s="617">
        <v>22069.440248613217</v>
      </c>
      <c r="S161" s="251">
        <v>7605.2048298128075</v>
      </c>
      <c r="T161" s="616">
        <v>3596.1180933954483</v>
      </c>
      <c r="U161" s="616">
        <v>12602.668143743567</v>
      </c>
      <c r="V161" s="251">
        <v>10705.384629297905</v>
      </c>
      <c r="W161" s="251">
        <v>4754.6818753975585</v>
      </c>
      <c r="X161" s="617">
        <v>7852.8947862512105</v>
      </c>
      <c r="Y161" s="616">
        <v>6433.9938362560406</v>
      </c>
      <c r="Z161" s="616">
        <v>4179.8552026015968</v>
      </c>
      <c r="AA161" s="251">
        <v>9680.2795798712996</v>
      </c>
      <c r="AB161" s="617">
        <v>8030.9335424123574</v>
      </c>
      <c r="AC161" s="616">
        <v>10219.193341826691</v>
      </c>
      <c r="AD161" s="251">
        <v>1996.1773844623028</v>
      </c>
      <c r="AE161" s="617">
        <v>10698.512914378576</v>
      </c>
    </row>
    <row r="162" spans="1:37" x14ac:dyDescent="0.25">
      <c r="A162" s="54" t="s">
        <v>2353</v>
      </c>
      <c r="B162" s="616">
        <v>5152.2172278357893</v>
      </c>
      <c r="C162" s="617">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6">
        <v>15619.823762674081</v>
      </c>
      <c r="Q162" s="251">
        <v>18520.78627538191</v>
      </c>
      <c r="R162" s="617">
        <v>22209.508162288275</v>
      </c>
      <c r="S162" s="251">
        <v>7685.1166808339476</v>
      </c>
      <c r="T162" s="616">
        <v>3619.4038549280681</v>
      </c>
      <c r="U162" s="616">
        <v>12691.984010703418</v>
      </c>
      <c r="V162" s="251">
        <v>10733.698360379683</v>
      </c>
      <c r="W162" s="251">
        <v>4768.3744373533154</v>
      </c>
      <c r="X162" s="617">
        <v>7874.129099700931</v>
      </c>
      <c r="Y162" s="251">
        <v>6486.7449972503682</v>
      </c>
      <c r="Z162" s="616">
        <v>4190.2074689983929</v>
      </c>
      <c r="AA162" s="251">
        <v>9704.9665773550405</v>
      </c>
      <c r="AB162" s="617">
        <v>8047.3092755831522</v>
      </c>
      <c r="AC162" s="616">
        <v>10244.894188019078</v>
      </c>
      <c r="AD162" s="251">
        <v>2003.6011592499046</v>
      </c>
      <c r="AE162" s="617">
        <v>10719.860372058718</v>
      </c>
    </row>
    <row r="163" spans="1:37" x14ac:dyDescent="0.25">
      <c r="A163" s="240" t="s">
        <v>897</v>
      </c>
      <c r="B163" s="620">
        <v>7893.5985454856827</v>
      </c>
      <c r="C163" s="621">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0">
        <v>17581.849099849038</v>
      </c>
      <c r="Q163" s="286">
        <v>21822.126102981423</v>
      </c>
      <c r="R163" s="621">
        <v>27006.306034994766</v>
      </c>
      <c r="S163" s="286">
        <v>8378.0420160757658</v>
      </c>
      <c r="T163" s="620">
        <v>6259.6643591051779</v>
      </c>
      <c r="U163" s="620">
        <v>13840.985308818024</v>
      </c>
      <c r="V163" s="286">
        <v>11665.620257492861</v>
      </c>
      <c r="W163" s="286">
        <v>5071.5749855425656</v>
      </c>
      <c r="X163" s="621">
        <v>8465.0547473700644</v>
      </c>
      <c r="Y163" s="620">
        <v>9869.2924476607714</v>
      </c>
      <c r="Z163" s="620">
        <v>4470.8490545449386</v>
      </c>
      <c r="AA163" s="286">
        <v>10906.933148808203</v>
      </c>
      <c r="AB163" s="621">
        <v>8798.398019007047</v>
      </c>
      <c r="AC163" s="620">
        <v>11130.841056016245</v>
      </c>
      <c r="AD163" s="286">
        <v>2089.6441391398689</v>
      </c>
      <c r="AE163" s="621">
        <v>11562.869590541168</v>
      </c>
    </row>
    <row r="165" spans="1:37" ht="15.75" x14ac:dyDescent="0.25">
      <c r="A165" s="625" t="s">
        <v>2376</v>
      </c>
    </row>
    <row r="166" spans="1:37" ht="55.5" customHeight="1" x14ac:dyDescent="0.25">
      <c r="A166" s="239"/>
      <c r="B166" s="1154" t="s">
        <v>2204</v>
      </c>
      <c r="C166" s="1154" t="s">
        <v>2354</v>
      </c>
      <c r="D166" s="1154" t="s">
        <v>2355</v>
      </c>
      <c r="E166" s="1154" t="s">
        <v>2356</v>
      </c>
      <c r="F166" s="1150" t="s">
        <v>2202</v>
      </c>
      <c r="G166" s="1151"/>
      <c r="H166" s="1150" t="s">
        <v>2357</v>
      </c>
      <c r="I166" s="1151"/>
      <c r="J166" s="1150" t="s">
        <v>2358</v>
      </c>
      <c r="K166" s="1151"/>
      <c r="L166" s="1150" t="s">
        <v>2359</v>
      </c>
      <c r="M166" s="1151"/>
      <c r="N166" s="1150" t="s">
        <v>2360</v>
      </c>
      <c r="O166" s="1151"/>
      <c r="P166" s="1150" t="s">
        <v>2361</v>
      </c>
      <c r="Q166" s="1151"/>
      <c r="R166" s="1150" t="s">
        <v>2362</v>
      </c>
      <c r="S166" s="1151"/>
      <c r="T166" s="1150" t="s">
        <v>2363</v>
      </c>
      <c r="U166" s="1151"/>
      <c r="V166" s="1150" t="s">
        <v>2364</v>
      </c>
      <c r="W166" s="1151"/>
      <c r="X166" s="1150" t="s">
        <v>2365</v>
      </c>
      <c r="Y166" s="1151"/>
      <c r="Z166" s="1154" t="s">
        <v>2366</v>
      </c>
      <c r="AA166" s="1150" t="s">
        <v>2367</v>
      </c>
      <c r="AB166" s="1151"/>
      <c r="AC166" s="1150" t="s">
        <v>2368</v>
      </c>
      <c r="AD166" s="1151"/>
      <c r="AE166" s="1150" t="s">
        <v>2369</v>
      </c>
      <c r="AF166" s="1151"/>
      <c r="AG166" s="1154" t="s">
        <v>2370</v>
      </c>
      <c r="AH166" s="1154" t="s">
        <v>2371</v>
      </c>
      <c r="AI166" s="1154" t="s">
        <v>2372</v>
      </c>
      <c r="AJ166" s="1154" t="s">
        <v>2373</v>
      </c>
      <c r="AK166" s="1154" t="s">
        <v>2374</v>
      </c>
    </row>
    <row r="167" spans="1:37" x14ac:dyDescent="0.25">
      <c r="A167" s="240"/>
      <c r="B167" s="1155"/>
      <c r="C167" s="1155"/>
      <c r="D167" s="1155"/>
      <c r="E167" s="1155"/>
      <c r="F167" s="626" t="s">
        <v>2375</v>
      </c>
      <c r="G167" s="627" t="s">
        <v>225</v>
      </c>
      <c r="H167" s="626" t="s">
        <v>2375</v>
      </c>
      <c r="I167" s="627" t="s">
        <v>225</v>
      </c>
      <c r="J167" s="626" t="s">
        <v>2375</v>
      </c>
      <c r="K167" s="627" t="s">
        <v>225</v>
      </c>
      <c r="L167" s="626" t="s">
        <v>2375</v>
      </c>
      <c r="M167" s="627" t="s">
        <v>225</v>
      </c>
      <c r="N167" s="626" t="s">
        <v>2375</v>
      </c>
      <c r="O167" s="627" t="s">
        <v>225</v>
      </c>
      <c r="P167" s="626" t="s">
        <v>2375</v>
      </c>
      <c r="Q167" s="627" t="s">
        <v>225</v>
      </c>
      <c r="R167" s="626" t="s">
        <v>2375</v>
      </c>
      <c r="S167" s="627" t="s">
        <v>225</v>
      </c>
      <c r="T167" s="626" t="s">
        <v>2375</v>
      </c>
      <c r="U167" s="627" t="s">
        <v>225</v>
      </c>
      <c r="V167" s="626" t="s">
        <v>2375</v>
      </c>
      <c r="W167" s="627" t="s">
        <v>225</v>
      </c>
      <c r="X167" s="626" t="s">
        <v>2375</v>
      </c>
      <c r="Y167" s="627" t="s">
        <v>225</v>
      </c>
      <c r="Z167" s="1155"/>
      <c r="AA167" s="626" t="s">
        <v>2375</v>
      </c>
      <c r="AB167" s="627" t="s">
        <v>225</v>
      </c>
      <c r="AC167" s="626" t="s">
        <v>2375</v>
      </c>
      <c r="AD167" s="627" t="s">
        <v>225</v>
      </c>
      <c r="AE167" s="626" t="s">
        <v>2375</v>
      </c>
      <c r="AF167" s="628" t="s">
        <v>225</v>
      </c>
      <c r="AG167" s="1155"/>
      <c r="AH167" s="1155"/>
      <c r="AI167" s="1155"/>
      <c r="AJ167" s="1155"/>
      <c r="AK167" s="1155"/>
    </row>
    <row r="168" spans="1:37" x14ac:dyDescent="0.25">
      <c r="A168" s="54" t="s">
        <v>2347</v>
      </c>
      <c r="B168" s="54"/>
      <c r="C168" s="54"/>
      <c r="D168" s="72"/>
      <c r="E168" s="72"/>
      <c r="F168" s="615"/>
      <c r="G168" s="622">
        <v>1.0166250453537191</v>
      </c>
      <c r="H168" s="615"/>
      <c r="I168" s="622">
        <v>1.0185549389222033</v>
      </c>
      <c r="J168" s="615"/>
      <c r="K168" s="622">
        <v>1.0005158030845158</v>
      </c>
      <c r="L168" s="615"/>
      <c r="M168" s="622">
        <v>1.0143506386738088</v>
      </c>
      <c r="N168" s="615"/>
      <c r="O168" s="622">
        <v>1.0117616240091467</v>
      </c>
      <c r="P168" s="615"/>
      <c r="Q168" s="622">
        <v>1.0061186660290904</v>
      </c>
      <c r="R168" s="615"/>
      <c r="S168" s="622">
        <v>1.0143506386738088</v>
      </c>
      <c r="T168" s="615"/>
      <c r="U168" s="622">
        <v>1.0000577907384296</v>
      </c>
      <c r="V168" s="615"/>
      <c r="W168" s="622">
        <v>0.88035087318703953</v>
      </c>
      <c r="X168" s="615"/>
      <c r="Y168" s="622">
        <v>1</v>
      </c>
      <c r="Z168" s="54">
        <v>1.0069999999999999</v>
      </c>
      <c r="AA168" s="615"/>
      <c r="AB168" s="622">
        <v>1.0000577907384296</v>
      </c>
      <c r="AC168" s="615"/>
      <c r="AD168" s="622">
        <v>0.88035087318703953</v>
      </c>
      <c r="AE168" s="615"/>
      <c r="AF168" s="623">
        <v>1</v>
      </c>
      <c r="AG168" s="54"/>
      <c r="AH168" s="54"/>
      <c r="AI168" s="54"/>
      <c r="AJ168" s="54"/>
      <c r="AK168" s="54"/>
    </row>
    <row r="169" spans="1:37" x14ac:dyDescent="0.25">
      <c r="A169" s="54" t="s">
        <v>2348</v>
      </c>
      <c r="B169" s="629">
        <v>112046.43324002362</v>
      </c>
      <c r="C169" s="629">
        <v>96588.995941935951</v>
      </c>
      <c r="D169" s="630">
        <v>87157.45616416003</v>
      </c>
      <c r="E169" s="631">
        <v>77906.280305658176</v>
      </c>
      <c r="F169" s="631">
        <v>83586.96705688248</v>
      </c>
      <c r="G169" s="632">
        <v>122246.80516929431</v>
      </c>
      <c r="H169" s="631">
        <v>78903.563888471064</v>
      </c>
      <c r="I169" s="632">
        <v>124919.69310101146</v>
      </c>
      <c r="J169" s="631">
        <v>116577.15089907637</v>
      </c>
      <c r="K169" s="632">
        <v>44752.610353172371</v>
      </c>
      <c r="L169" s="631">
        <v>80117.856773669351</v>
      </c>
      <c r="M169" s="632">
        <v>117336.11210925465</v>
      </c>
      <c r="N169" s="631">
        <v>78903.563888471064</v>
      </c>
      <c r="O169" s="632">
        <v>114356.0987071588</v>
      </c>
      <c r="P169" s="631">
        <v>0</v>
      </c>
      <c r="Q169" s="632">
        <v>-814204.85012046306</v>
      </c>
      <c r="R169" s="631">
        <v>80117.856773669351</v>
      </c>
      <c r="S169" s="632">
        <v>117336.11210925465</v>
      </c>
      <c r="T169" s="631">
        <v>80117.856773669366</v>
      </c>
      <c r="U169" s="632">
        <v>49207.051351662383</v>
      </c>
      <c r="V169" s="631">
        <v>62542.194705720562</v>
      </c>
      <c r="W169" s="632">
        <v>141594.60219034684</v>
      </c>
      <c r="X169" s="631">
        <v>76763.472981853469</v>
      </c>
      <c r="Y169" s="632">
        <v>61588.888062001541</v>
      </c>
      <c r="Z169" s="629">
        <v>126505.36045357939</v>
      </c>
      <c r="AA169" s="631">
        <v>80117.856773669366</v>
      </c>
      <c r="AB169" s="632">
        <v>46930.292096655263</v>
      </c>
      <c r="AC169" s="631">
        <v>43764.986908334249</v>
      </c>
      <c r="AD169" s="632">
        <v>139317.84293533972</v>
      </c>
      <c r="AE169" s="631">
        <v>74548.040954577533</v>
      </c>
      <c r="AF169" s="633">
        <v>59312.128806994413</v>
      </c>
      <c r="AG169" s="629">
        <v>116729.51780104049</v>
      </c>
      <c r="AH169" s="629">
        <v>116610.86082829966</v>
      </c>
      <c r="AI169" s="629">
        <v>92446.48545741869</v>
      </c>
      <c r="AJ169" s="629">
        <v>106725.02039969835</v>
      </c>
      <c r="AK169" s="634">
        <v>82651.962312512536</v>
      </c>
    </row>
    <row r="170" spans="1:37" x14ac:dyDescent="0.25">
      <c r="A170" s="54" t="s">
        <v>2349</v>
      </c>
      <c r="B170" s="629">
        <v>111402.68249263524</v>
      </c>
      <c r="C170" s="629">
        <v>96061.92108148885</v>
      </c>
      <c r="D170" s="630">
        <v>86720.556530241258</v>
      </c>
      <c r="E170" s="631">
        <v>77522.436503801684</v>
      </c>
      <c r="F170" s="631">
        <v>83182.317889032158</v>
      </c>
      <c r="G170" s="632">
        <v>121345.27546737017</v>
      </c>
      <c r="H170" s="631">
        <v>78500.721693776853</v>
      </c>
      <c r="I170" s="632">
        <v>29626.410019334748</v>
      </c>
      <c r="J170" s="631">
        <v>115906.27211067961</v>
      </c>
      <c r="K170" s="632">
        <v>34662.064116366892</v>
      </c>
      <c r="L170" s="631">
        <v>79715.10873248188</v>
      </c>
      <c r="M170" s="632">
        <v>116439.56083776147</v>
      </c>
      <c r="N170" s="631">
        <v>78500.721693776853</v>
      </c>
      <c r="O170" s="632">
        <v>20429.472069066986</v>
      </c>
      <c r="P170" s="631">
        <v>0</v>
      </c>
      <c r="Q170" s="632">
        <v>167860.54714816736</v>
      </c>
      <c r="R170" s="631">
        <v>79715.10873248188</v>
      </c>
      <c r="S170" s="632">
        <v>116439.56083776147</v>
      </c>
      <c r="T170" s="631">
        <v>79715.10873248188</v>
      </c>
      <c r="U170" s="632">
        <v>47631.684360788538</v>
      </c>
      <c r="V170" s="631">
        <v>58507.798279955925</v>
      </c>
      <c r="W170" s="632">
        <v>138330.39550016614</v>
      </c>
      <c r="X170" s="631">
        <v>75938.682384127984</v>
      </c>
      <c r="Y170" s="632">
        <v>59787.181729983466</v>
      </c>
      <c r="Z170" s="629">
        <v>125571.41532049498</v>
      </c>
      <c r="AA170" s="631">
        <v>79715.10873248188</v>
      </c>
      <c r="AB170" s="632">
        <v>46406.46719071077</v>
      </c>
      <c r="AC170" s="631">
        <v>40001.712365089581</v>
      </c>
      <c r="AD170" s="632">
        <v>137105.17833008838</v>
      </c>
      <c r="AE170" s="631">
        <v>73755.238717864588</v>
      </c>
      <c r="AF170" s="633">
        <v>58561.964559905704</v>
      </c>
      <c r="AG170" s="629">
        <v>116715.83699267995</v>
      </c>
      <c r="AH170" s="629">
        <v>116597.19951641148</v>
      </c>
      <c r="AI170" s="629">
        <v>92433.126015379326</v>
      </c>
      <c r="AJ170" s="629">
        <v>106121.43676092912</v>
      </c>
      <c r="AK170" s="634">
        <v>82230.087022258391</v>
      </c>
    </row>
    <row r="171" spans="1:37" x14ac:dyDescent="0.25">
      <c r="A171" s="54" t="s">
        <v>2221</v>
      </c>
      <c r="B171" s="629">
        <v>922.61174935503641</v>
      </c>
      <c r="C171" s="629">
        <v>755.37533753322748</v>
      </c>
      <c r="D171" s="631">
        <v>623.67900150804201</v>
      </c>
      <c r="E171" s="631">
        <v>550.08709928176927</v>
      </c>
      <c r="F171" s="631">
        <v>579.86519956446671</v>
      </c>
      <c r="G171" s="632">
        <v>1290.7107316723605</v>
      </c>
      <c r="H171" s="631">
        <v>577.28247763029924</v>
      </c>
      <c r="I171" s="632">
        <v>1301.9520147150861</v>
      </c>
      <c r="J171" s="631">
        <v>961.49540815731257</v>
      </c>
      <c r="K171" s="632">
        <v>13724.001281398881</v>
      </c>
      <c r="L171" s="631">
        <v>577.17252645296264</v>
      </c>
      <c r="M171" s="632">
        <v>1283.5757382952338</v>
      </c>
      <c r="N171" s="631">
        <v>577.28247763029924</v>
      </c>
      <c r="O171" s="632">
        <v>1280.3096745028618</v>
      </c>
      <c r="P171" s="631">
        <v>0</v>
      </c>
      <c r="Q171" s="632">
        <v>63317.872504869134</v>
      </c>
      <c r="R171" s="631">
        <v>577.17252645296264</v>
      </c>
      <c r="S171" s="632">
        <v>1283.5757382952338</v>
      </c>
      <c r="T171" s="631">
        <v>577.17252645296276</v>
      </c>
      <c r="U171" s="632">
        <v>2257.0435428586989</v>
      </c>
      <c r="V171" s="631">
        <v>5522.0215761373074</v>
      </c>
      <c r="W171" s="632">
        <v>4633.6122997303064</v>
      </c>
      <c r="X171" s="631">
        <v>1151.3650388980127</v>
      </c>
      <c r="Y171" s="632">
        <v>2575.5527576971617</v>
      </c>
      <c r="Z171" s="629">
        <v>1292.6167623804499</v>
      </c>
      <c r="AA171" s="631">
        <v>577.17252645296276</v>
      </c>
      <c r="AB171" s="632">
        <v>749.14450580437835</v>
      </c>
      <c r="AC171" s="631">
        <v>5392.156873773617</v>
      </c>
      <c r="AD171" s="632">
        <v>3125.7132626759858</v>
      </c>
      <c r="AE171" s="631">
        <v>1136.0429300981505</v>
      </c>
      <c r="AF171" s="633">
        <v>1067.6537206428411</v>
      </c>
      <c r="AG171" s="629">
        <v>18.986322760071992</v>
      </c>
      <c r="AH171" s="629">
        <v>18.959265417617114</v>
      </c>
      <c r="AI171" s="629">
        <v>18.540328302930625</v>
      </c>
      <c r="AJ171" s="629">
        <v>865.03855839998755</v>
      </c>
      <c r="AK171" s="634">
        <v>604.58840884143262</v>
      </c>
    </row>
    <row r="172" spans="1:37" x14ac:dyDescent="0.25">
      <c r="A172" s="54" t="s">
        <v>250</v>
      </c>
      <c r="B172" s="629">
        <v>110019.97849960628</v>
      </c>
      <c r="C172" s="629">
        <v>94857.471138778405</v>
      </c>
      <c r="D172" s="629">
        <v>76182.562366927479</v>
      </c>
      <c r="E172" s="629">
        <v>76578.687821831089</v>
      </c>
      <c r="F172" s="631">
        <v>82039.793500938729</v>
      </c>
      <c r="G172" s="632">
        <v>114197.16106592127</v>
      </c>
      <c r="H172" s="631">
        <v>77389.196473200005</v>
      </c>
      <c r="I172" s="632">
        <v>21423.390547828629</v>
      </c>
      <c r="J172" s="631">
        <v>114481.76204249656</v>
      </c>
      <c r="K172" s="632">
        <v>20510.02827667374</v>
      </c>
      <c r="L172" s="631">
        <v>78700.60529934433</v>
      </c>
      <c r="M172" s="632">
        <v>109302.1461026841</v>
      </c>
      <c r="N172" s="631">
        <v>77389.196473200005</v>
      </c>
      <c r="O172" s="632">
        <v>13301.347165287691</v>
      </c>
      <c r="P172" s="631">
        <v>0</v>
      </c>
      <c r="Q172" s="632">
        <v>96819.008231133994</v>
      </c>
      <c r="R172" s="631">
        <v>78700.60529934433</v>
      </c>
      <c r="S172" s="632">
        <v>109302.1461026841</v>
      </c>
      <c r="T172" s="631">
        <v>78700.60529934433</v>
      </c>
      <c r="U172" s="632">
        <v>41367.171548121645</v>
      </c>
      <c r="V172" s="631">
        <v>42426.363096203786</v>
      </c>
      <c r="W172" s="632">
        <v>78202.097116159159</v>
      </c>
      <c r="X172" s="631">
        <v>73162.721716180691</v>
      </c>
      <c r="Y172" s="632">
        <v>46303.811057240062</v>
      </c>
      <c r="Z172" s="629">
        <v>123713.80368224913</v>
      </c>
      <c r="AA172" s="631">
        <v>78700.60529934433</v>
      </c>
      <c r="AB172" s="632">
        <v>39113.941898734563</v>
      </c>
      <c r="AC172" s="631">
        <v>26590.114561133469</v>
      </c>
      <c r="AD172" s="632">
        <v>76006.658205201675</v>
      </c>
      <c r="AE172" s="631">
        <v>71294.279263230914</v>
      </c>
      <c r="AF172" s="633">
        <v>44058.326558364177</v>
      </c>
      <c r="AG172" s="629">
        <v>114281.21753985665</v>
      </c>
      <c r="AH172" s="629">
        <v>114166.04963129303</v>
      </c>
      <c r="AI172" s="629">
        <v>90055.696508967943</v>
      </c>
      <c r="AJ172" s="629">
        <v>104800.09891637045</v>
      </c>
      <c r="AK172" s="634">
        <v>81186.357944589225</v>
      </c>
    </row>
    <row r="173" spans="1:37" x14ac:dyDescent="0.25">
      <c r="A173" s="54" t="s">
        <v>2350</v>
      </c>
      <c r="B173" s="629">
        <v>460.09224367393222</v>
      </c>
      <c r="C173" s="629">
        <v>449.07460517722217</v>
      </c>
      <c r="D173" s="631">
        <v>9914.3151618057236</v>
      </c>
      <c r="E173" s="631">
        <v>393.6615826888314</v>
      </c>
      <c r="F173" s="631">
        <v>562.65918852897255</v>
      </c>
      <c r="G173" s="632">
        <v>5857.4036697765432</v>
      </c>
      <c r="H173" s="631">
        <v>534.24274294654515</v>
      </c>
      <c r="I173" s="632">
        <v>6901.067456791031</v>
      </c>
      <c r="J173" s="631">
        <v>463.01466002574978</v>
      </c>
      <c r="K173" s="632">
        <v>428.03455829427128</v>
      </c>
      <c r="L173" s="631">
        <v>437.33090668458038</v>
      </c>
      <c r="M173" s="632">
        <v>5853.8389967821386</v>
      </c>
      <c r="N173" s="631">
        <v>534.24274294654515</v>
      </c>
      <c r="O173" s="632">
        <v>5847.8152292764316</v>
      </c>
      <c r="P173" s="631">
        <v>0</v>
      </c>
      <c r="Q173" s="632">
        <v>7723.6664121642343</v>
      </c>
      <c r="R173" s="631">
        <v>437.33090668458038</v>
      </c>
      <c r="S173" s="632">
        <v>5853.8389967821386</v>
      </c>
      <c r="T173" s="631">
        <v>437.33090668458038</v>
      </c>
      <c r="U173" s="632">
        <v>4007.469269808194</v>
      </c>
      <c r="V173" s="631">
        <v>10559.413607614832</v>
      </c>
      <c r="W173" s="632">
        <v>55494.686084276676</v>
      </c>
      <c r="X173" s="631">
        <v>1624.5956290492827</v>
      </c>
      <c r="Y173" s="632">
        <v>10907.817915046237</v>
      </c>
      <c r="Z173" s="629">
        <v>564.99487586540931</v>
      </c>
      <c r="AA173" s="631">
        <v>437.33090668458038</v>
      </c>
      <c r="AB173" s="632">
        <v>6543.3807861718296</v>
      </c>
      <c r="AC173" s="631">
        <v>8019.4409301824962</v>
      </c>
      <c r="AD173" s="632">
        <v>57972.806862210709</v>
      </c>
      <c r="AE173" s="631">
        <v>1324.9165245355289</v>
      </c>
      <c r="AF173" s="633">
        <v>13435.984280898687</v>
      </c>
      <c r="AG173" s="629">
        <v>2415.6331300632241</v>
      </c>
      <c r="AH173" s="629">
        <v>2412.1906197008216</v>
      </c>
      <c r="AI173" s="629">
        <v>2358.8891781084553</v>
      </c>
      <c r="AJ173" s="629">
        <v>456.29928615867141</v>
      </c>
      <c r="AK173" s="634">
        <v>439.14066882772954</v>
      </c>
    </row>
    <row r="174" spans="1:37" x14ac:dyDescent="0.25">
      <c r="A174" s="54" t="s">
        <v>2351</v>
      </c>
      <c r="B174" s="635">
        <v>3.4572658186714413</v>
      </c>
      <c r="C174" s="635">
        <v>3.3687181417952123</v>
      </c>
      <c r="D174" s="636">
        <v>3.8879096275650387</v>
      </c>
      <c r="E174" s="636">
        <v>3.6803380071516987</v>
      </c>
      <c r="F174" s="636">
        <v>2.1076081597926817</v>
      </c>
      <c r="G174" s="637">
        <v>0.65313506480134675</v>
      </c>
      <c r="H174" s="636">
        <v>0.1735126902796702</v>
      </c>
      <c r="I174" s="637">
        <v>0.48298392832726506</v>
      </c>
      <c r="J174" s="636">
        <v>3.4805978858540252</v>
      </c>
      <c r="K174" s="637">
        <v>3.7267688490255431</v>
      </c>
      <c r="L174" s="636">
        <v>3.2743992150139252</v>
      </c>
      <c r="M174" s="637">
        <v>0.75538534778969435</v>
      </c>
      <c r="N174" s="636">
        <v>0.1735126902796702</v>
      </c>
      <c r="O174" s="637">
        <v>0.46812449426786606</v>
      </c>
      <c r="P174" s="636">
        <v>0</v>
      </c>
      <c r="Q174" s="637">
        <v>17.31271917298838</v>
      </c>
      <c r="R174" s="636">
        <v>3.2743992150139252</v>
      </c>
      <c r="S174" s="637">
        <v>0.75538534778969435</v>
      </c>
      <c r="T174" s="636">
        <v>3.2743992150139252</v>
      </c>
      <c r="U174" s="637">
        <v>0.80048141197474798</v>
      </c>
      <c r="V174" s="636">
        <v>18.689131581536152</v>
      </c>
      <c r="W174" s="637">
        <v>9.5840319926163922</v>
      </c>
      <c r="X174" s="636">
        <v>5.0407664161516959</v>
      </c>
      <c r="Y174" s="637">
        <v>1.9776582939164113</v>
      </c>
      <c r="Z174" s="635">
        <v>3.7101845250913423</v>
      </c>
      <c r="AA174" s="636">
        <v>3.2743992150139252</v>
      </c>
      <c r="AB174" s="637">
        <v>0.43569876289668108</v>
      </c>
      <c r="AC174" s="636">
        <v>21.202937763756051</v>
      </c>
      <c r="AD174" s="637">
        <v>9.2192493435383263</v>
      </c>
      <c r="AE174" s="636">
        <v>5.3373582623168865</v>
      </c>
      <c r="AF174" s="624">
        <v>1.6128756448383446</v>
      </c>
      <c r="AG174" s="635">
        <v>2.070163706333326</v>
      </c>
      <c r="AH174" s="635">
        <v>2.0672135232437538</v>
      </c>
      <c r="AI174" s="635">
        <v>2.0215349355035395</v>
      </c>
      <c r="AJ174" s="635">
        <v>3.4267821922058546</v>
      </c>
      <c r="AK174" s="634">
        <v>3.28888007248058</v>
      </c>
    </row>
    <row r="175" spans="1:37" x14ac:dyDescent="0.25">
      <c r="A175" s="54" t="s">
        <v>254</v>
      </c>
      <c r="B175" s="635">
        <v>11.107381326465033</v>
      </c>
      <c r="C175" s="635">
        <v>9.3463620243254972</v>
      </c>
      <c r="D175" s="636">
        <v>7.4331684383066827</v>
      </c>
      <c r="E175" s="636">
        <v>7.2975544593894064</v>
      </c>
      <c r="F175" s="636">
        <v>7.7005820946249752</v>
      </c>
      <c r="G175" s="637">
        <v>1.8946257954241748</v>
      </c>
      <c r="H175" s="636">
        <v>7.3830287190739812</v>
      </c>
      <c r="I175" s="637">
        <v>-0.74351421633745707</v>
      </c>
      <c r="J175" s="636">
        <v>11.518095296888333</v>
      </c>
      <c r="K175" s="637">
        <v>0.31809209110922526</v>
      </c>
      <c r="L175" s="636">
        <v>7.4698594341442055</v>
      </c>
      <c r="M175" s="637">
        <v>0.99479512128384806</v>
      </c>
      <c r="N175" s="636">
        <v>7.3830287190739812</v>
      </c>
      <c r="O175" s="637">
        <v>-1.775179226589134</v>
      </c>
      <c r="P175" s="636">
        <v>0</v>
      </c>
      <c r="Q175" s="637">
        <v>-22.640517889175666</v>
      </c>
      <c r="R175" s="636">
        <v>7.4698594341442055</v>
      </c>
      <c r="S175" s="637">
        <v>0.99479512128384806</v>
      </c>
      <c r="T175" s="636">
        <v>7.4698594341442046</v>
      </c>
      <c r="U175" s="637">
        <v>6.2193725668359034</v>
      </c>
      <c r="V175" s="636">
        <v>3.7140376581436518</v>
      </c>
      <c r="W175" s="637">
        <v>4.9033058189870138</v>
      </c>
      <c r="X175" s="636">
        <v>6.9073194449324653</v>
      </c>
      <c r="Y175" s="637">
        <v>6.0429924872272895</v>
      </c>
      <c r="Z175" s="635">
        <v>12.39880788724491</v>
      </c>
      <c r="AA175" s="636">
        <v>7.4698594341442046</v>
      </c>
      <c r="AB175" s="637">
        <v>6.5396964597013412</v>
      </c>
      <c r="AC175" s="636">
        <v>3.7865259100003907</v>
      </c>
      <c r="AD175" s="637">
        <v>5.2236297118524515</v>
      </c>
      <c r="AE175" s="636">
        <v>6.9158719835472331</v>
      </c>
      <c r="AF175" s="624">
        <v>6.3633163800927273</v>
      </c>
      <c r="AG175" s="635">
        <v>7.2660661285297756</v>
      </c>
      <c r="AH175" s="635">
        <v>7.2620696371802484</v>
      </c>
      <c r="AI175" s="635">
        <v>4.2236213234719111</v>
      </c>
      <c r="AJ175" s="635">
        <v>10.501128779826832</v>
      </c>
      <c r="AK175" s="638">
        <v>7.7585577355111601</v>
      </c>
    </row>
    <row r="176" spans="1:37" x14ac:dyDescent="0.25">
      <c r="A176" s="54" t="s">
        <v>251</v>
      </c>
      <c r="B176" s="635">
        <v>35.005840229372538</v>
      </c>
      <c r="C176" s="635">
        <v>26.006701581327356</v>
      </c>
      <c r="D176" s="636">
        <v>15.113440391308629</v>
      </c>
      <c r="E176" s="636">
        <v>15.550054378684774</v>
      </c>
      <c r="F176" s="636">
        <v>17.569485518384575</v>
      </c>
      <c r="G176" s="637">
        <v>7.3533299352103363</v>
      </c>
      <c r="H176" s="636">
        <v>16.016790544774445</v>
      </c>
      <c r="I176" s="637">
        <v>-21.579112005265252</v>
      </c>
      <c r="J176" s="636">
        <v>37.084816705919188</v>
      </c>
      <c r="K176" s="637">
        <v>1.1313615553190528</v>
      </c>
      <c r="L176" s="636">
        <v>16.417422462923184</v>
      </c>
      <c r="M176" s="637">
        <v>6.3263705917885655</v>
      </c>
      <c r="N176" s="636">
        <v>16.016790544774445</v>
      </c>
      <c r="O176" s="637">
        <v>-22.424873516220309</v>
      </c>
      <c r="P176" s="636">
        <v>0</v>
      </c>
      <c r="Q176" s="637">
        <v>-36.439882163036003</v>
      </c>
      <c r="R176" s="636">
        <v>16.417422462923184</v>
      </c>
      <c r="S176" s="637">
        <v>6.3263705917885655</v>
      </c>
      <c r="T176" s="636">
        <v>16.417422462923184</v>
      </c>
      <c r="U176" s="637">
        <v>3.5635958214518855</v>
      </c>
      <c r="V176" s="636">
        <v>7.5372286138659108</v>
      </c>
      <c r="W176" s="637">
        <v>7.0689412113593457</v>
      </c>
      <c r="X176" s="636">
        <v>15.107252157463396</v>
      </c>
      <c r="Y176" s="637">
        <v>4.0333843788621637</v>
      </c>
      <c r="Z176" s="635">
        <v>41.556307321518482</v>
      </c>
      <c r="AA176" s="636">
        <v>16.417422462923184</v>
      </c>
      <c r="AB176" s="637">
        <v>4.1522845518073321</v>
      </c>
      <c r="AC176" s="636">
        <v>7.3082688295601681</v>
      </c>
      <c r="AD176" s="637">
        <v>7.6576299417147924</v>
      </c>
      <c r="AE176" s="636">
        <v>15.080238298715999</v>
      </c>
      <c r="AF176" s="624">
        <v>4.6220731092176104</v>
      </c>
      <c r="AG176" s="635">
        <v>39.376232671967159</v>
      </c>
      <c r="AH176" s="635">
        <v>39.353789268814531</v>
      </c>
      <c r="AI176" s="635">
        <v>23.243463238715975</v>
      </c>
      <c r="AJ176" s="635">
        <v>31.907776104635673</v>
      </c>
      <c r="AK176" s="638">
        <v>17.892724111778421</v>
      </c>
    </row>
    <row r="177" spans="1:84" x14ac:dyDescent="0.25">
      <c r="A177" s="54" t="s">
        <v>2352</v>
      </c>
      <c r="B177" s="635">
        <v>41.189734674967468</v>
      </c>
      <c r="C177" s="635">
        <v>30.56622529825912</v>
      </c>
      <c r="D177" s="636">
        <v>21.016247114582619</v>
      </c>
      <c r="E177" s="636">
        <v>18.233828834320118</v>
      </c>
      <c r="F177" s="636">
        <v>20.569114826658559</v>
      </c>
      <c r="G177" s="637">
        <v>30.185541926107792</v>
      </c>
      <c r="H177" s="636">
        <v>18.773425139775338</v>
      </c>
      <c r="I177" s="637">
        <v>-20.182162023342666</v>
      </c>
      <c r="J177" s="636">
        <v>43.643850563107463</v>
      </c>
      <c r="K177" s="637">
        <v>2.0038896354767584</v>
      </c>
      <c r="L177" s="636">
        <v>19.246054437067919</v>
      </c>
      <c r="M177" s="637">
        <v>8.2091968516103258</v>
      </c>
      <c r="N177" s="636">
        <v>18.773425139775338</v>
      </c>
      <c r="O177" s="637">
        <v>-45.829999319229564</v>
      </c>
      <c r="P177" s="636">
        <v>0</v>
      </c>
      <c r="Q177" s="637">
        <v>-4.0941119037641043</v>
      </c>
      <c r="R177" s="636">
        <v>19.246054437067919</v>
      </c>
      <c r="S177" s="637">
        <v>8.2091968516103258</v>
      </c>
      <c r="T177" s="636">
        <v>19.246054437067919</v>
      </c>
      <c r="U177" s="637">
        <v>5.1113774210522118</v>
      </c>
      <c r="V177" s="636">
        <v>11.493596315358969</v>
      </c>
      <c r="W177" s="637">
        <v>9.5568610825422589</v>
      </c>
      <c r="X177" s="636">
        <v>18.023723395505478</v>
      </c>
      <c r="Y177" s="637">
        <v>5.7071638911488156</v>
      </c>
      <c r="Z177" s="635">
        <v>48.947078335151431</v>
      </c>
      <c r="AA177" s="636">
        <v>19.246054437067919</v>
      </c>
      <c r="AB177" s="637">
        <v>14.321510955788622</v>
      </c>
      <c r="AC177" s="636">
        <v>11.339780609400105</v>
      </c>
      <c r="AD177" s="637">
        <v>18.766994617278669</v>
      </c>
      <c r="AE177" s="636">
        <v>18.005575423508983</v>
      </c>
      <c r="AF177" s="624">
        <v>14.917297425885225</v>
      </c>
      <c r="AG177" s="635">
        <v>45.934450129409761</v>
      </c>
      <c r="AH177" s="635">
        <v>45.908715797737472</v>
      </c>
      <c r="AI177" s="635">
        <v>26.912799738857245</v>
      </c>
      <c r="AJ177" s="635">
        <v>37.53246095511706</v>
      </c>
      <c r="AK177" s="638">
        <v>20.987651270079461</v>
      </c>
    </row>
    <row r="178" spans="1:84" x14ac:dyDescent="0.25">
      <c r="A178" s="54" t="s">
        <v>252</v>
      </c>
      <c r="B178" s="635">
        <v>0.40605482857651448</v>
      </c>
      <c r="C178" s="635">
        <v>0.38284755101355183</v>
      </c>
      <c r="D178" s="636">
        <v>0.42169058564290418</v>
      </c>
      <c r="E178" s="636">
        <v>0.34958017998566171</v>
      </c>
      <c r="F178" s="636">
        <v>0.37846529309092009</v>
      </c>
      <c r="G178" s="637">
        <v>1.5256707648317054</v>
      </c>
      <c r="H178" s="636">
        <v>0.35328549238007295</v>
      </c>
      <c r="I178" s="637">
        <v>-2.4135316251092043</v>
      </c>
      <c r="J178" s="636">
        <v>0.4117037865701324</v>
      </c>
      <c r="K178" s="637">
        <v>0.28996858376815926</v>
      </c>
      <c r="L178" s="636">
        <v>0.35811790160344453</v>
      </c>
      <c r="M178" s="637">
        <v>0.45778029279436661</v>
      </c>
      <c r="N178" s="636">
        <v>0.35328549238007295</v>
      </c>
      <c r="O178" s="637">
        <v>-3.6278120238045677</v>
      </c>
      <c r="P178" s="636">
        <v>0</v>
      </c>
      <c r="Q178" s="637">
        <v>-3.7668310159150513</v>
      </c>
      <c r="R178" s="636">
        <v>0.35811790160344453</v>
      </c>
      <c r="S178" s="637">
        <v>0.45778029279436661</v>
      </c>
      <c r="T178" s="636">
        <v>0.35811790160344448</v>
      </c>
      <c r="U178" s="637">
        <v>0.24951674122347106</v>
      </c>
      <c r="V178" s="636">
        <v>0.56490922820746026</v>
      </c>
      <c r="W178" s="637">
        <v>1.3624080692416309</v>
      </c>
      <c r="X178" s="636">
        <v>0.37679155165288286</v>
      </c>
      <c r="Y178" s="637">
        <v>0.39866712539085325</v>
      </c>
      <c r="Z178" s="635">
        <v>0.42974011527820305</v>
      </c>
      <c r="AA178" s="636">
        <v>0.35811790160344448</v>
      </c>
      <c r="AB178" s="637">
        <v>1.118068023188721</v>
      </c>
      <c r="AC178" s="636">
        <v>0.56755465814642037</v>
      </c>
      <c r="AD178" s="637">
        <v>2.2309593512068808</v>
      </c>
      <c r="AE178" s="636">
        <v>0.37710367315017501</v>
      </c>
      <c r="AF178" s="624">
        <v>1.2672184073561032</v>
      </c>
      <c r="AG178" s="635">
        <v>0.43981360591875573</v>
      </c>
      <c r="AH178" s="635">
        <v>0.43924406170834412</v>
      </c>
      <c r="AI178" s="635">
        <v>0.40363302660436584</v>
      </c>
      <c r="AJ178" s="635">
        <v>0.39806543794008475</v>
      </c>
      <c r="AK178" s="638">
        <v>0.36192295648956907</v>
      </c>
    </row>
    <row r="179" spans="1:84" x14ac:dyDescent="0.25">
      <c r="A179" s="54" t="s">
        <v>253</v>
      </c>
      <c r="B179" s="635">
        <v>0.38388137538982076</v>
      </c>
      <c r="C179" s="635">
        <v>0.36239585056465357</v>
      </c>
      <c r="D179" s="636">
        <v>0.39989444201317192</v>
      </c>
      <c r="E179" s="636">
        <v>0.33145125584264234</v>
      </c>
      <c r="F179" s="636">
        <v>0.35915286437925015</v>
      </c>
      <c r="G179" s="637">
        <v>1.4222047749265685</v>
      </c>
      <c r="H179" s="636">
        <v>0.33418883026468443</v>
      </c>
      <c r="I179" s="637">
        <v>-2.5334654795095335</v>
      </c>
      <c r="J179" s="636">
        <v>0.38911846800284366</v>
      </c>
      <c r="K179" s="637">
        <v>0.1637882532658059</v>
      </c>
      <c r="L179" s="636">
        <v>0.33950087564139664</v>
      </c>
      <c r="M179" s="637">
        <v>0.43465610396675158</v>
      </c>
      <c r="N179" s="636">
        <v>0.33418883026468443</v>
      </c>
      <c r="O179" s="637">
        <v>-3.6509213252241755</v>
      </c>
      <c r="P179" s="636">
        <v>0</v>
      </c>
      <c r="Q179" s="637">
        <v>-4.3590331311918904</v>
      </c>
      <c r="R179" s="636">
        <v>0.33950087564139664</v>
      </c>
      <c r="S179" s="637">
        <v>0.43465610396675158</v>
      </c>
      <c r="T179" s="636">
        <v>0.33950087564139664</v>
      </c>
      <c r="U179" s="637">
        <v>0.20795714343287205</v>
      </c>
      <c r="V179" s="636">
        <v>0.47585912140455749</v>
      </c>
      <c r="W179" s="637">
        <v>1.1639843627061279</v>
      </c>
      <c r="X179" s="636">
        <v>0.35016206746349837</v>
      </c>
      <c r="Y179" s="637">
        <v>0.33608450271691664</v>
      </c>
      <c r="Z179" s="635">
        <v>0.4037799362757174</v>
      </c>
      <c r="AA179" s="636">
        <v>0.33950087564139664</v>
      </c>
      <c r="AB179" s="637">
        <v>1.0193300743503424</v>
      </c>
      <c r="AC179" s="636">
        <v>0.47694577379123831</v>
      </c>
      <c r="AD179" s="637">
        <v>1.9753572936235984</v>
      </c>
      <c r="AE179" s="636">
        <v>0.3502902763285195</v>
      </c>
      <c r="AF179" s="624">
        <v>1.147457433634387</v>
      </c>
      <c r="AG179" s="635">
        <v>0.42438999903639729</v>
      </c>
      <c r="AH179" s="635">
        <v>0.42384243495444862</v>
      </c>
      <c r="AI179" s="635">
        <v>0.38857172490693376</v>
      </c>
      <c r="AJ179" s="635">
        <v>0.37648471930246807</v>
      </c>
      <c r="AK179" s="638">
        <v>0.34302365605015855</v>
      </c>
    </row>
    <row r="180" spans="1:84" x14ac:dyDescent="0.25">
      <c r="A180" s="54" t="s">
        <v>898</v>
      </c>
      <c r="B180" s="635">
        <v>11.210812387758168</v>
      </c>
      <c r="C180" s="635">
        <v>11.03785216522204</v>
      </c>
      <c r="D180" s="636">
        <v>10.861518923854215</v>
      </c>
      <c r="E180" s="636">
        <v>10.828695368028763</v>
      </c>
      <c r="F180" s="636">
        <v>10.888853022319676</v>
      </c>
      <c r="G180" s="637">
        <v>9.289963285082651</v>
      </c>
      <c r="H180" s="636">
        <v>10.840809348260812</v>
      </c>
      <c r="I180" s="637">
        <v>10.458498629898086</v>
      </c>
      <c r="J180" s="636">
        <v>11.260384283882365</v>
      </c>
      <c r="K180" s="637">
        <v>1.677247649143929</v>
      </c>
      <c r="L180" s="636">
        <v>10.853549276946806</v>
      </c>
      <c r="M180" s="637">
        <v>1.5940698572489589</v>
      </c>
      <c r="N180" s="636">
        <v>10.840809348260812</v>
      </c>
      <c r="O180" s="637">
        <v>1.2923920318669766</v>
      </c>
      <c r="P180" s="636">
        <v>0</v>
      </c>
      <c r="Q180" s="637">
        <v>7.8784082129494593</v>
      </c>
      <c r="R180" s="636">
        <v>10.853549276946806</v>
      </c>
      <c r="S180" s="637">
        <v>1.5940698572489589</v>
      </c>
      <c r="T180" s="636">
        <v>10.853549276946804</v>
      </c>
      <c r="U180" s="637">
        <v>10.915420901904868</v>
      </c>
      <c r="V180" s="636">
        <v>2.6651775385811116</v>
      </c>
      <c r="W180" s="637">
        <v>4.3784162001888269</v>
      </c>
      <c r="X180" s="636">
        <v>9.7139444827316836</v>
      </c>
      <c r="Y180" s="637">
        <v>10.039327488272821</v>
      </c>
      <c r="Z180" s="635">
        <v>11.414727202584137</v>
      </c>
      <c r="AA180" s="636">
        <v>10.853549276946804</v>
      </c>
      <c r="AB180" s="637">
        <v>18.078239728186755</v>
      </c>
      <c r="AC180" s="636">
        <v>2.8219042621344084</v>
      </c>
      <c r="AD180" s="637">
        <v>11.541235026470714</v>
      </c>
      <c r="AE180" s="636">
        <v>9.7324359116297714</v>
      </c>
      <c r="AF180" s="624">
        <v>17.202146314554707</v>
      </c>
      <c r="AG180" s="635">
        <v>4.2322596906303994E-2</v>
      </c>
      <c r="AH180" s="635">
        <v>4.2275092050778534E-2</v>
      </c>
      <c r="AI180" s="635">
        <v>3.5543248835732767E-2</v>
      </c>
      <c r="AJ180" s="635">
        <v>11.151268704589992</v>
      </c>
      <c r="AK180" s="638">
        <v>10.881904423591102</v>
      </c>
    </row>
    <row r="181" spans="1:84" x14ac:dyDescent="0.25">
      <c r="A181" s="54" t="s">
        <v>899</v>
      </c>
      <c r="B181" s="635">
        <v>7.7172463109279985E-2</v>
      </c>
      <c r="C181" s="635">
        <v>7.3141095510730544E-2</v>
      </c>
      <c r="D181" s="636">
        <v>7.3267003712288531E-2</v>
      </c>
      <c r="E181" s="636">
        <v>6.70838916149257E-2</v>
      </c>
      <c r="F181" s="636">
        <v>7.3352468315627917E-2</v>
      </c>
      <c r="G181" s="637">
        <v>0.17361742243551381</v>
      </c>
      <c r="H181" s="636">
        <v>6.845724333026966E-2</v>
      </c>
      <c r="I181" s="637">
        <v>-3.7345938829313856</v>
      </c>
      <c r="J181" s="636">
        <v>7.8159778193786222E-2</v>
      </c>
      <c r="K181" s="637">
        <v>8.7299399912684466E-3</v>
      </c>
      <c r="L181" s="636">
        <v>6.8845246761923357E-2</v>
      </c>
      <c r="M181" s="637">
        <v>2.4207132526646396E-2</v>
      </c>
      <c r="N181" s="636">
        <v>6.845724333026966E-2</v>
      </c>
      <c r="O181" s="637">
        <v>-3.8556706179360352</v>
      </c>
      <c r="P181" s="636">
        <v>0</v>
      </c>
      <c r="Q181" s="637">
        <v>-4.8668650255087602</v>
      </c>
      <c r="R181" s="636">
        <v>6.8845246761923357E-2</v>
      </c>
      <c r="S181" s="637">
        <v>2.4207132526646396E-2</v>
      </c>
      <c r="T181" s="636">
        <v>6.8845246761923357E-2</v>
      </c>
      <c r="U181" s="637">
        <v>2.1878171228958319E-2</v>
      </c>
      <c r="V181" s="636">
        <v>8.5929625989135644E-2</v>
      </c>
      <c r="W181" s="637">
        <v>0.1007411735680516</v>
      </c>
      <c r="X181" s="636">
        <v>6.9760431014661839E-2</v>
      </c>
      <c r="Y181" s="637">
        <v>3.244743958368216E-2</v>
      </c>
      <c r="Z181" s="635">
        <v>8.0604780069554044E-2</v>
      </c>
      <c r="AA181" s="636">
        <v>6.8845246761923357E-2</v>
      </c>
      <c r="AB181" s="637">
        <v>0.14617775290370513</v>
      </c>
      <c r="AC181" s="636">
        <v>8.8520532415936048E-2</v>
      </c>
      <c r="AD181" s="637">
        <v>0.2250407552427984</v>
      </c>
      <c r="AE181" s="636">
        <v>7.0066119546180763E-2</v>
      </c>
      <c r="AF181" s="624">
        <v>0.15674702125842899</v>
      </c>
      <c r="AG181" s="635">
        <v>7.9326193257224412E-2</v>
      </c>
      <c r="AH181" s="635">
        <v>7.9224592301017735E-2</v>
      </c>
      <c r="AI181" s="635">
        <v>7.2292952044316988E-2</v>
      </c>
      <c r="AJ181" s="635">
        <v>7.5784615247484283E-2</v>
      </c>
      <c r="AK181" s="638">
        <v>6.9506255872694142E-2</v>
      </c>
    </row>
    <row r="182" spans="1:84" x14ac:dyDescent="0.25">
      <c r="A182" s="54" t="s">
        <v>900</v>
      </c>
      <c r="B182" s="635">
        <v>0.16201613933777509</v>
      </c>
      <c r="C182" s="635">
        <v>0.15312674504446805</v>
      </c>
      <c r="D182" s="636">
        <v>0.1958796603660265</v>
      </c>
      <c r="E182" s="636">
        <v>0.14040122084276974</v>
      </c>
      <c r="F182" s="636">
        <v>0.15163722093681445</v>
      </c>
      <c r="G182" s="637">
        <v>0.65006661591823212</v>
      </c>
      <c r="H182" s="636">
        <v>0.14104974101817494</v>
      </c>
      <c r="I182" s="637">
        <v>0.51618439706258124</v>
      </c>
      <c r="J182" s="636">
        <v>0.16418584196515135</v>
      </c>
      <c r="K182" s="637">
        <v>4.5665334576295236E-2</v>
      </c>
      <c r="L182" s="636">
        <v>0.14365421085757782</v>
      </c>
      <c r="M182" s="637">
        <v>0.27226595953288457</v>
      </c>
      <c r="N182" s="636">
        <v>0.14104974101817494</v>
      </c>
      <c r="O182" s="637">
        <v>6.7132416206449469E-2</v>
      </c>
      <c r="P182" s="636">
        <v>0</v>
      </c>
      <c r="Q182" s="637">
        <v>-1.7463967915191919E-2</v>
      </c>
      <c r="R182" s="636">
        <v>0.14365421085757782</v>
      </c>
      <c r="S182" s="637">
        <v>0.27226595953288457</v>
      </c>
      <c r="T182" s="636">
        <v>0.14365421085757779</v>
      </c>
      <c r="U182" s="637">
        <v>9.942297804387025E-2</v>
      </c>
      <c r="V182" s="636">
        <v>0.17271074080892998</v>
      </c>
      <c r="W182" s="637">
        <v>0.16004839222236572</v>
      </c>
      <c r="X182" s="636">
        <v>0.14478607978805294</v>
      </c>
      <c r="Y182" s="637">
        <v>0.10754803355232841</v>
      </c>
      <c r="Z182" s="635">
        <v>0.16894364585701435</v>
      </c>
      <c r="AA182" s="636">
        <v>0.14365421085757779</v>
      </c>
      <c r="AB182" s="637">
        <v>0.41164165622758941</v>
      </c>
      <c r="AC182" s="636">
        <v>0.16883110456604758</v>
      </c>
      <c r="AD182" s="637">
        <v>0.47226707040608495</v>
      </c>
      <c r="AE182" s="636">
        <v>0.14432834025194052</v>
      </c>
      <c r="AF182" s="624">
        <v>0.41976671173604757</v>
      </c>
      <c r="AG182" s="635">
        <v>0.1915501790228569</v>
      </c>
      <c r="AH182" s="635">
        <v>0.19130169709447273</v>
      </c>
      <c r="AI182" s="635">
        <v>0.17598713921725648</v>
      </c>
      <c r="AJ182" s="635">
        <v>0.15895585605647267</v>
      </c>
      <c r="AK182" s="638">
        <v>0.14511171740296172</v>
      </c>
    </row>
    <row r="183" spans="1:84" x14ac:dyDescent="0.25">
      <c r="A183" s="54" t="s">
        <v>14</v>
      </c>
      <c r="B183" s="635">
        <v>210.79004569261718</v>
      </c>
      <c r="C183" s="635">
        <v>173.20166913844463</v>
      </c>
      <c r="D183" s="636">
        <v>127.97875343893483</v>
      </c>
      <c r="E183" s="636">
        <v>127.87716281325562</v>
      </c>
      <c r="F183" s="636">
        <v>133.34613262092981</v>
      </c>
      <c r="G183" s="637">
        <v>105.50192991273221</v>
      </c>
      <c r="H183" s="636">
        <v>131.94894726312907</v>
      </c>
      <c r="I183" s="637">
        <v>59.912563566535781</v>
      </c>
      <c r="J183" s="636">
        <v>238.3525213425558</v>
      </c>
      <c r="K183" s="637">
        <v>16.716989527760699</v>
      </c>
      <c r="L183" s="636">
        <v>133.14847534210864</v>
      </c>
      <c r="M183" s="637">
        <v>138.5835105694434</v>
      </c>
      <c r="N183" s="636">
        <v>131.94894726312907</v>
      </c>
      <c r="O183" s="637">
        <v>28.30609139071278</v>
      </c>
      <c r="P183" s="636">
        <v>0</v>
      </c>
      <c r="Q183" s="637">
        <v>445.23054014393512</v>
      </c>
      <c r="R183" s="636">
        <v>133.14847534210864</v>
      </c>
      <c r="S183" s="637">
        <v>138.5835105694434</v>
      </c>
      <c r="T183" s="636">
        <v>133.14847534210864</v>
      </c>
      <c r="U183" s="637">
        <v>12.197133265122478</v>
      </c>
      <c r="V183" s="636">
        <v>91.247602563329494</v>
      </c>
      <c r="W183" s="637">
        <v>30.006606697210419</v>
      </c>
      <c r="X183" s="636">
        <v>126.07636158078243</v>
      </c>
      <c r="Y183" s="637">
        <v>14.583969910660036</v>
      </c>
      <c r="Z183" s="635">
        <v>297.81440611075652</v>
      </c>
      <c r="AA183" s="636">
        <v>133.14847534210864</v>
      </c>
      <c r="AB183" s="637">
        <v>11.821364908367576</v>
      </c>
      <c r="AC183" s="636">
        <v>88.114027351201415</v>
      </c>
      <c r="AD183" s="637">
        <v>29.630838340455519</v>
      </c>
      <c r="AE183" s="636">
        <v>125.70664618114816</v>
      </c>
      <c r="AF183" s="624">
        <v>14.208201553905134</v>
      </c>
      <c r="AG183" s="635">
        <v>112.25269180354553</v>
      </c>
      <c r="AH183" s="635">
        <v>81.738462520519093</v>
      </c>
      <c r="AI183" s="635">
        <v>58.639015982563834</v>
      </c>
      <c r="AJ183" s="635">
        <v>197.84978491167251</v>
      </c>
      <c r="AK183" s="638">
        <v>139.31050995025623</v>
      </c>
    </row>
    <row r="184" spans="1:84" x14ac:dyDescent="0.25">
      <c r="A184" s="54" t="s">
        <v>10</v>
      </c>
      <c r="B184" s="635">
        <v>1.4169238405315723</v>
      </c>
      <c r="C184" s="635">
        <v>0.79418566498971732</v>
      </c>
      <c r="D184" s="636">
        <v>4.9755728210094829E-2</v>
      </c>
      <c r="E184" s="636">
        <v>9.7491404372125279E-2</v>
      </c>
      <c r="F184" s="636">
        <v>0.13153144531865973</v>
      </c>
      <c r="G184" s="637">
        <v>5.2294019143000109E-2</v>
      </c>
      <c r="H184" s="636">
        <v>0.13038963004257598</v>
      </c>
      <c r="I184" s="637">
        <v>-1.1748158915503462</v>
      </c>
      <c r="J184" s="636">
        <v>1.5598733556135576</v>
      </c>
      <c r="K184" s="637">
        <v>5.2459892075118982E-2</v>
      </c>
      <c r="L184" s="636">
        <v>0.13061217290212784</v>
      </c>
      <c r="M184" s="637">
        <v>3.8834910429875094E-2</v>
      </c>
      <c r="N184" s="636">
        <v>0.13038963004257598</v>
      </c>
      <c r="O184" s="637">
        <v>-1.17544068474788</v>
      </c>
      <c r="P184" s="636">
        <v>0</v>
      </c>
      <c r="Q184" s="637">
        <v>-0.87421763321104662</v>
      </c>
      <c r="R184" s="636">
        <v>0.13061217290212784</v>
      </c>
      <c r="S184" s="637">
        <v>3.8834910429875094E-2</v>
      </c>
      <c r="T184" s="636">
        <v>0.13061217290212784</v>
      </c>
      <c r="U184" s="637">
        <v>3.3817382326108016E-2</v>
      </c>
      <c r="V184" s="636">
        <v>8.1328795833971235E-2</v>
      </c>
      <c r="W184" s="637">
        <v>0.17933661744240537</v>
      </c>
      <c r="X184" s="636">
        <v>0.12270957694791694</v>
      </c>
      <c r="Y184" s="637">
        <v>5.331996022829219E-2</v>
      </c>
      <c r="Z184" s="635">
        <v>1.8672797577385896</v>
      </c>
      <c r="AA184" s="636">
        <v>0.13061217290212784</v>
      </c>
      <c r="AB184" s="637">
        <v>3.3685580149647495E-2</v>
      </c>
      <c r="AC184" s="636">
        <v>5.2976150590869756E-2</v>
      </c>
      <c r="AD184" s="637">
        <v>0.17920481526594484</v>
      </c>
      <c r="AE184" s="636">
        <v>0.11936438531946283</v>
      </c>
      <c r="AF184" s="624">
        <v>5.318815805183167E-2</v>
      </c>
      <c r="AG184" s="635">
        <v>1.7009406937389593</v>
      </c>
      <c r="AH184" s="635">
        <v>1.700901381910223</v>
      </c>
      <c r="AI184" s="635">
        <v>0.58393404760763368</v>
      </c>
      <c r="AJ184" s="635">
        <v>1.2025385669843764</v>
      </c>
      <c r="AK184" s="638">
        <v>0.23270042474706107</v>
      </c>
    </row>
    <row r="185" spans="1:84" x14ac:dyDescent="0.25">
      <c r="A185" s="54" t="s">
        <v>8</v>
      </c>
      <c r="B185" s="629">
        <v>6624.4991337110332</v>
      </c>
      <c r="C185" s="629">
        <v>5824.0937384570261</v>
      </c>
      <c r="D185" s="631">
        <v>5595.9198353608153</v>
      </c>
      <c r="E185" s="631">
        <v>4854.6185152074113</v>
      </c>
      <c r="F185" s="631">
        <v>5178.7085171435074</v>
      </c>
      <c r="G185" s="632">
        <v>7175.8666825847013</v>
      </c>
      <c r="H185" s="631">
        <v>4904.7650833168791</v>
      </c>
      <c r="I185" s="632">
        <v>-58987.248237330103</v>
      </c>
      <c r="J185" s="631">
        <v>6812.6088544769318</v>
      </c>
      <c r="K185" s="632">
        <v>2628.706945949637</v>
      </c>
      <c r="L185" s="631">
        <v>4971.1967882868557</v>
      </c>
      <c r="M185" s="632">
        <v>6765.3887352791244</v>
      </c>
      <c r="N185" s="631">
        <v>4904.7650833168791</v>
      </c>
      <c r="O185" s="632">
        <v>-58633.981128495623</v>
      </c>
      <c r="P185" s="631">
        <v>0</v>
      </c>
      <c r="Q185" s="632">
        <v>12953.705354911479</v>
      </c>
      <c r="R185" s="631">
        <v>4971.1967882868557</v>
      </c>
      <c r="S185" s="632">
        <v>6765.3887352791244</v>
      </c>
      <c r="T185" s="631">
        <v>4971.1967882868566</v>
      </c>
      <c r="U185" s="632">
        <v>3465.8109811050372</v>
      </c>
      <c r="V185" s="631">
        <v>5128.797594074691</v>
      </c>
      <c r="W185" s="632">
        <v>10752.779789682578</v>
      </c>
      <c r="X185" s="631">
        <v>4910.3247549252901</v>
      </c>
      <c r="Y185" s="632">
        <v>4442.4150482339855</v>
      </c>
      <c r="Z185" s="629">
        <v>7227.8207115932873</v>
      </c>
      <c r="AA185" s="631">
        <v>4971.1967882868566</v>
      </c>
      <c r="AB185" s="632">
        <v>3418.4158207203654</v>
      </c>
      <c r="AC185" s="631">
        <v>3596.1180933954483</v>
      </c>
      <c r="AD185" s="632">
        <v>10705.384629297905</v>
      </c>
      <c r="AE185" s="631">
        <v>4729.4913056716305</v>
      </c>
      <c r="AF185" s="633">
        <v>4395.0198878493138</v>
      </c>
      <c r="AG185" s="629">
        <v>7910.5532189866717</v>
      </c>
      <c r="AH185" s="629">
        <v>7901.9752287625188</v>
      </c>
      <c r="AI185" s="629">
        <v>6507.3893326932921</v>
      </c>
      <c r="AJ185" s="629">
        <v>6348.9497353448996</v>
      </c>
      <c r="AK185" s="638">
        <v>5102.4167427361999</v>
      </c>
    </row>
    <row r="186" spans="1:84" x14ac:dyDescent="0.25">
      <c r="A186" s="54" t="s">
        <v>2353</v>
      </c>
      <c r="B186" s="629">
        <v>6714.1263163484819</v>
      </c>
      <c r="C186" s="629">
        <v>5894.0909073463554</v>
      </c>
      <c r="D186" s="629">
        <v>5642.8362357036895</v>
      </c>
      <c r="E186" s="629">
        <v>4901.7983596771082</v>
      </c>
      <c r="F186" s="631">
        <v>5230.3178562006451</v>
      </c>
      <c r="G186" s="632">
        <v>7193.3268324024375</v>
      </c>
      <c r="H186" s="631">
        <v>4952.9447651093051</v>
      </c>
      <c r="I186" s="632">
        <v>-59023.475556455487</v>
      </c>
      <c r="J186" s="631">
        <v>6906.7830586901073</v>
      </c>
      <c r="K186" s="632">
        <v>2631.4761868395717</v>
      </c>
      <c r="L186" s="631">
        <v>5020.2766569173891</v>
      </c>
      <c r="M186" s="632">
        <v>6778.4306195751742</v>
      </c>
      <c r="N186" s="631">
        <v>4952.9447651093051</v>
      </c>
      <c r="O186" s="632">
        <v>-58674.75285737255</v>
      </c>
      <c r="P186" s="631">
        <v>0</v>
      </c>
      <c r="Q186" s="632">
        <v>12825.879735519731</v>
      </c>
      <c r="R186" s="631">
        <v>5020.2766569173891</v>
      </c>
      <c r="S186" s="632">
        <v>6778.4306195751742</v>
      </c>
      <c r="T186" s="631">
        <v>5020.27665691739</v>
      </c>
      <c r="U186" s="632">
        <v>3490.7946285625285</v>
      </c>
      <c r="V186" s="631">
        <v>5152.2172278357893</v>
      </c>
      <c r="W186" s="632">
        <v>10779.170095674366</v>
      </c>
      <c r="X186" s="631">
        <v>4955.5925348713436</v>
      </c>
      <c r="Y186" s="632">
        <v>4467.587216938342</v>
      </c>
      <c r="Z186" s="629">
        <v>7331.7664314899675</v>
      </c>
      <c r="AA186" s="631">
        <v>5020.27665691739</v>
      </c>
      <c r="AB186" s="632">
        <v>3445.3228932678462</v>
      </c>
      <c r="AC186" s="631">
        <v>3619.4038549280681</v>
      </c>
      <c r="AD186" s="632">
        <v>10733.698360379683</v>
      </c>
      <c r="AE186" s="631">
        <v>4774.7432906802396</v>
      </c>
      <c r="AF186" s="633">
        <v>4422.1154816436583</v>
      </c>
      <c r="AG186" s="629">
        <v>7995.0760621432046</v>
      </c>
      <c r="AH186" s="629">
        <v>7986.4503479827245</v>
      </c>
      <c r="AI186" s="629">
        <v>6557.0783947170476</v>
      </c>
      <c r="AJ186" s="629">
        <v>6431.8190443969306</v>
      </c>
      <c r="AK186" s="634">
        <v>5154.7147189018133</v>
      </c>
    </row>
    <row r="187" spans="1:84" x14ac:dyDescent="0.25">
      <c r="A187" s="240" t="s">
        <v>897</v>
      </c>
      <c r="B187" s="639">
        <v>13382.489886453593</v>
      </c>
      <c r="C187" s="639">
        <v>11272.313334214199</v>
      </c>
      <c r="D187" s="640">
        <v>9470.1864019853037</v>
      </c>
      <c r="E187" s="640">
        <v>8739.1529649057156</v>
      </c>
      <c r="F187" s="640">
        <v>9239.9406928763474</v>
      </c>
      <c r="G187" s="641">
        <v>10351.560611027897</v>
      </c>
      <c r="H187" s="640">
        <v>8920.6197625521745</v>
      </c>
      <c r="I187" s="641">
        <v>-57558.805900565967</v>
      </c>
      <c r="J187" s="640">
        <v>14435.53362078077</v>
      </c>
      <c r="K187" s="641">
        <v>3143.9640253033481</v>
      </c>
      <c r="L187" s="640">
        <v>9023.7583453145089</v>
      </c>
      <c r="M187" s="641">
        <v>10918.821165091944</v>
      </c>
      <c r="N187" s="640">
        <v>8920.6197625521745</v>
      </c>
      <c r="O187" s="641">
        <v>-58152.126640865477</v>
      </c>
      <c r="P187" s="640">
        <v>0</v>
      </c>
      <c r="Q187" s="641">
        <v>25855.088417942381</v>
      </c>
      <c r="R187" s="640">
        <v>9023.7583453145089</v>
      </c>
      <c r="S187" s="641">
        <v>10918.821165091944</v>
      </c>
      <c r="T187" s="640">
        <v>9023.7583453145089</v>
      </c>
      <c r="U187" s="641">
        <v>3863.5013452382059</v>
      </c>
      <c r="V187" s="640">
        <v>7893.5985454856827</v>
      </c>
      <c r="W187" s="641">
        <v>11722.325871813013</v>
      </c>
      <c r="X187" s="640">
        <v>8746.1678244854411</v>
      </c>
      <c r="Y187" s="641">
        <v>4916.7458694183351</v>
      </c>
      <c r="Z187" s="639">
        <v>16716.403107453145</v>
      </c>
      <c r="AA187" s="640">
        <v>9023.7583453145089</v>
      </c>
      <c r="AB187" s="641">
        <v>3806.7957309180538</v>
      </c>
      <c r="AC187" s="640">
        <v>6259.6643591051779</v>
      </c>
      <c r="AD187" s="641">
        <v>11665.620257492861</v>
      </c>
      <c r="AE187" s="640">
        <v>8553.387824070669</v>
      </c>
      <c r="AF187" s="642">
        <v>4860.0402550981817</v>
      </c>
      <c r="AG187" s="639">
        <v>11804.563087279597</v>
      </c>
      <c r="AH187" s="639">
        <v>10886.602608355684</v>
      </c>
      <c r="AI187" s="639">
        <v>8463.9350659943339</v>
      </c>
      <c r="AJ187" s="639">
        <v>12656.035663551505</v>
      </c>
      <c r="AK187" s="643">
        <v>9369.6951313753962</v>
      </c>
    </row>
    <row r="189" spans="1:84" ht="15.75" x14ac:dyDescent="0.25">
      <c r="A189" s="625" t="s">
        <v>2376</v>
      </c>
    </row>
    <row r="190" spans="1:84" ht="64.5" x14ac:dyDescent="0.25">
      <c r="A190" s="576"/>
      <c r="B190" s="644" t="str">
        <f>"Dry Milling Corn Ethanol w/o Corn Oil Extraction "&amp;IF($C$196=2, "with CCS", "")</f>
        <v xml:space="preserve">Dry Milling Corn Ethanol w/o Corn Oil Extraction </v>
      </c>
      <c r="C190" s="645"/>
      <c r="D190" s="644" t="str">
        <f>"Dry Milling Corn Ethanol w/ Corn Oil Extraction "&amp;IF($C$196=2, "with CCS", "")</f>
        <v xml:space="preserve">Dry Milling Corn Ethanol w/ Corn Oil Extraction </v>
      </c>
      <c r="E190" s="645"/>
      <c r="F190" s="644" t="str">
        <f>"Wet Milling Corn Ethanol "&amp;IF($C$196=2, "with CCS", "")</f>
        <v xml:space="preserve">Wet Milling Corn Ethanol </v>
      </c>
      <c r="G190" s="645"/>
      <c r="H190" s="644" t="s">
        <v>2199</v>
      </c>
      <c r="I190" s="645"/>
      <c r="J190" s="644" t="s">
        <v>2377</v>
      </c>
      <c r="K190" s="645"/>
      <c r="L190" s="644" t="s">
        <v>2378</v>
      </c>
      <c r="M190" s="645"/>
      <c r="N190" s="644" t="s">
        <v>2379</v>
      </c>
      <c r="O190" s="645"/>
      <c r="P190" s="644" t="s">
        <v>2380</v>
      </c>
      <c r="Q190" s="645"/>
      <c r="R190" s="644" t="s">
        <v>2381</v>
      </c>
      <c r="S190" s="645"/>
      <c r="T190" s="644" t="s">
        <v>2382</v>
      </c>
      <c r="U190" s="645"/>
      <c r="V190" s="644" t="s">
        <v>2383</v>
      </c>
      <c r="W190" s="645"/>
      <c r="X190" s="644" t="s">
        <v>2384</v>
      </c>
      <c r="Y190" s="645"/>
      <c r="Z190" s="644" t="s">
        <v>2385</v>
      </c>
      <c r="AA190" s="645"/>
      <c r="AB190" s="644" t="s">
        <v>2386</v>
      </c>
      <c r="AC190" s="645"/>
      <c r="AD190" s="644" t="s">
        <v>2387</v>
      </c>
      <c r="AE190" s="645"/>
      <c r="AF190" s="644" t="s">
        <v>2388</v>
      </c>
      <c r="AG190" s="645"/>
      <c r="AH190" s="644" t="s">
        <v>2389</v>
      </c>
      <c r="AI190" s="645"/>
      <c r="AJ190" s="644" t="s">
        <v>2390</v>
      </c>
      <c r="AK190" s="645"/>
      <c r="AL190" s="644" t="s">
        <v>2391</v>
      </c>
      <c r="AM190" s="645"/>
      <c r="AN190" s="644" t="s">
        <v>2392</v>
      </c>
      <c r="AO190" s="645"/>
      <c r="AP190" s="644" t="s">
        <v>2393</v>
      </c>
      <c r="AQ190" s="645"/>
      <c r="AR190" s="644" t="s">
        <v>2394</v>
      </c>
      <c r="AS190" s="645"/>
      <c r="AT190" s="644" t="s">
        <v>2395</v>
      </c>
      <c r="AU190" s="645"/>
      <c r="AV190" s="644" t="s">
        <v>2396</v>
      </c>
      <c r="AW190" s="645"/>
      <c r="AX190" s="644" t="s">
        <v>2397</v>
      </c>
      <c r="AY190" s="645"/>
      <c r="AZ190" s="644" t="s">
        <v>2398</v>
      </c>
      <c r="BA190" s="645"/>
      <c r="BB190" s="644" t="s">
        <v>2399</v>
      </c>
      <c r="BC190" s="645"/>
      <c r="BD190" s="644" t="s">
        <v>2400</v>
      </c>
      <c r="BE190" s="645"/>
      <c r="BF190" s="644" t="s">
        <v>2401</v>
      </c>
      <c r="BG190" s="645"/>
      <c r="BH190" s="644" t="s">
        <v>2402</v>
      </c>
      <c r="BI190" s="645"/>
      <c r="BJ190" s="644" t="s">
        <v>2403</v>
      </c>
      <c r="BK190" s="645"/>
      <c r="BL190" s="644" t="s">
        <v>2404</v>
      </c>
      <c r="BM190" s="645"/>
      <c r="BN190" s="644" t="s">
        <v>2405</v>
      </c>
      <c r="BO190" s="645"/>
      <c r="BP190" s="644" t="s">
        <v>2406</v>
      </c>
      <c r="BQ190" s="645"/>
      <c r="BR190" s="644" t="s">
        <v>2407</v>
      </c>
      <c r="BS190" s="644" t="s">
        <v>2408</v>
      </c>
      <c r="BT190" s="645"/>
      <c r="BU190" s="644" t="s">
        <v>2409</v>
      </c>
      <c r="BV190" s="645"/>
      <c r="BW190" s="646" t="s">
        <v>2410</v>
      </c>
      <c r="BX190" s="646"/>
      <c r="BY190" s="646" t="s">
        <v>2411</v>
      </c>
      <c r="BZ190" s="646"/>
      <c r="CA190" s="646" t="s">
        <v>2412</v>
      </c>
      <c r="CB190" s="646"/>
      <c r="CC190" s="645" t="s">
        <v>2413</v>
      </c>
      <c r="CD190" s="647" t="s">
        <v>2414</v>
      </c>
      <c r="CE190" s="646" t="s">
        <v>2415</v>
      </c>
      <c r="CF190" s="646" t="s">
        <v>2416</v>
      </c>
    </row>
    <row r="191" spans="1:84" x14ac:dyDescent="0.25">
      <c r="A191" s="54"/>
      <c r="B191" s="648" t="s">
        <v>2417</v>
      </c>
      <c r="C191" s="649" t="s">
        <v>23</v>
      </c>
      <c r="D191" s="648" t="s">
        <v>2417</v>
      </c>
      <c r="E191" s="649" t="s">
        <v>23</v>
      </c>
      <c r="F191" s="648" t="s">
        <v>2417</v>
      </c>
      <c r="G191" s="649" t="s">
        <v>23</v>
      </c>
      <c r="H191" s="648" t="s">
        <v>2417</v>
      </c>
      <c r="I191" s="649" t="s">
        <v>23</v>
      </c>
      <c r="J191" s="648" t="s">
        <v>2417</v>
      </c>
      <c r="K191" s="649" t="s">
        <v>23</v>
      </c>
      <c r="L191" s="648" t="s">
        <v>2417</v>
      </c>
      <c r="M191" s="649" t="s">
        <v>23</v>
      </c>
      <c r="N191" s="648" t="s">
        <v>2418</v>
      </c>
      <c r="O191" s="649" t="s">
        <v>23</v>
      </c>
      <c r="P191" s="648" t="str">
        <f>IF($C$183=1,J191,IF($C$183=2,L191,N191))</f>
        <v>Stover</v>
      </c>
      <c r="Q191" s="649" t="s">
        <v>23</v>
      </c>
      <c r="R191" s="648" t="s">
        <v>2417</v>
      </c>
      <c r="S191" s="649" t="s">
        <v>23</v>
      </c>
      <c r="T191" s="648" t="s">
        <v>2417</v>
      </c>
      <c r="U191" s="649" t="s">
        <v>23</v>
      </c>
      <c r="V191" s="648" t="s">
        <v>2225</v>
      </c>
      <c r="W191" s="649" t="s">
        <v>23</v>
      </c>
      <c r="X191" s="648" t="s">
        <v>2225</v>
      </c>
      <c r="Y191" s="649" t="s">
        <v>23</v>
      </c>
      <c r="Z191" s="648" t="s">
        <v>2225</v>
      </c>
      <c r="AA191" s="649" t="s">
        <v>23</v>
      </c>
      <c r="AB191" s="648" t="s">
        <v>2419</v>
      </c>
      <c r="AC191" s="649" t="s">
        <v>23</v>
      </c>
      <c r="AD191" s="648" t="s">
        <v>2419</v>
      </c>
      <c r="AE191" s="649" t="s">
        <v>23</v>
      </c>
      <c r="AF191" s="648" t="s">
        <v>2419</v>
      </c>
      <c r="AG191" s="649" t="s">
        <v>23</v>
      </c>
      <c r="AH191" s="648" t="s">
        <v>2420</v>
      </c>
      <c r="AI191" s="649" t="s">
        <v>23</v>
      </c>
      <c r="AJ191" s="650" t="s">
        <v>2420</v>
      </c>
      <c r="AK191" s="651" t="s">
        <v>23</v>
      </c>
      <c r="AL191" s="648" t="s">
        <v>2420</v>
      </c>
      <c r="AM191" s="649" t="s">
        <v>23</v>
      </c>
      <c r="AN191" s="648" t="s">
        <v>2421</v>
      </c>
      <c r="AO191" s="649" t="s">
        <v>23</v>
      </c>
      <c r="AP191" s="650" t="s">
        <v>2421</v>
      </c>
      <c r="AQ191" s="651" t="s">
        <v>23</v>
      </c>
      <c r="AR191" s="648" t="s">
        <v>2421</v>
      </c>
      <c r="AS191" s="649" t="s">
        <v>23</v>
      </c>
      <c r="AT191" s="648" t="s">
        <v>2422</v>
      </c>
      <c r="AU191" s="649" t="s">
        <v>23</v>
      </c>
      <c r="AV191" s="650" t="s">
        <v>2422</v>
      </c>
      <c r="AW191" s="651" t="s">
        <v>23</v>
      </c>
      <c r="AX191" s="648" t="s">
        <v>2422</v>
      </c>
      <c r="AY191" s="649" t="s">
        <v>23</v>
      </c>
      <c r="AZ191" s="648" t="s">
        <v>2423</v>
      </c>
      <c r="BA191" s="649" t="s">
        <v>23</v>
      </c>
      <c r="BB191" s="648" t="s">
        <v>2423</v>
      </c>
      <c r="BC191" s="649" t="s">
        <v>23</v>
      </c>
      <c r="BD191" s="648" t="s">
        <v>2423</v>
      </c>
      <c r="BE191" s="649" t="s">
        <v>23</v>
      </c>
      <c r="BF191" s="648" t="s">
        <v>2424</v>
      </c>
      <c r="BG191" s="649" t="s">
        <v>23</v>
      </c>
      <c r="BH191" s="648" t="s">
        <v>2424</v>
      </c>
      <c r="BI191" s="649" t="s">
        <v>23</v>
      </c>
      <c r="BJ191" s="648" t="s">
        <v>2424</v>
      </c>
      <c r="BK191" s="649" t="s">
        <v>23</v>
      </c>
      <c r="BL191" s="648" t="s">
        <v>2424</v>
      </c>
      <c r="BM191" s="649" t="s">
        <v>23</v>
      </c>
      <c r="BN191" s="648" t="s">
        <v>2424</v>
      </c>
      <c r="BO191" s="649" t="s">
        <v>23</v>
      </c>
      <c r="BP191" s="648" t="s">
        <v>2425</v>
      </c>
      <c r="BQ191" s="649" t="s">
        <v>23</v>
      </c>
      <c r="BR191" s="652"/>
      <c r="BS191" s="648" t="s">
        <v>2375</v>
      </c>
      <c r="BT191" s="649" t="s">
        <v>225</v>
      </c>
      <c r="BU191" s="648" t="s">
        <v>2375</v>
      </c>
      <c r="BV191" s="649" t="s">
        <v>225</v>
      </c>
      <c r="BW191" s="648" t="s">
        <v>2375</v>
      </c>
      <c r="BX191" s="649" t="s">
        <v>225</v>
      </c>
      <c r="BY191" s="648" t="s">
        <v>2375</v>
      </c>
      <c r="BZ191" s="649" t="s">
        <v>225</v>
      </c>
      <c r="CA191" s="648" t="s">
        <v>2425</v>
      </c>
      <c r="CB191" s="649" t="s">
        <v>23</v>
      </c>
      <c r="CC191" s="652" t="s">
        <v>2426</v>
      </c>
      <c r="CD191" s="653" t="s">
        <v>2427</v>
      </c>
      <c r="CE191" s="54" t="s">
        <v>2428</v>
      </c>
      <c r="CF191" s="54" t="s">
        <v>2428</v>
      </c>
    </row>
    <row r="192" spans="1:84" x14ac:dyDescent="0.25">
      <c r="A192" s="54" t="s">
        <v>2347</v>
      </c>
      <c r="B192" s="612"/>
      <c r="C192" s="613">
        <v>1.0005044983835341</v>
      </c>
      <c r="D192" s="612"/>
      <c r="E192" s="613">
        <v>1.0005044983835341</v>
      </c>
      <c r="F192" s="612"/>
      <c r="G192" s="613">
        <v>1.0005044983835341</v>
      </c>
      <c r="H192" s="612"/>
      <c r="I192" s="613">
        <v>1.0005044983835341</v>
      </c>
      <c r="J192" s="612"/>
      <c r="K192" s="613">
        <v>1.0005044983835341</v>
      </c>
      <c r="L192" s="612"/>
      <c r="M192" s="613">
        <v>1.0005044983835341</v>
      </c>
      <c r="N192" s="612"/>
      <c r="O192" s="613">
        <v>1.0005044983835341</v>
      </c>
      <c r="P192" s="612"/>
      <c r="Q192" s="613">
        <v>1.0005044983835341</v>
      </c>
      <c r="R192" s="612"/>
      <c r="S192" s="613"/>
      <c r="T192" s="614"/>
      <c r="U192" s="614"/>
      <c r="V192" s="612"/>
      <c r="W192" s="613">
        <v>1.0005044983835341</v>
      </c>
      <c r="X192" s="612"/>
      <c r="Y192" s="613">
        <v>1.0005044983835341</v>
      </c>
      <c r="Z192" s="612"/>
      <c r="AA192" s="613">
        <v>1.0005044983835341</v>
      </c>
      <c r="AB192" s="612"/>
      <c r="AC192" s="613">
        <v>1.0005044983835341</v>
      </c>
      <c r="AD192" s="612"/>
      <c r="AE192" s="613">
        <v>1.0005044983835341</v>
      </c>
      <c r="AF192" s="612"/>
      <c r="AG192" s="613">
        <v>1.0005044983835341</v>
      </c>
      <c r="AH192" s="612"/>
      <c r="AI192" s="613">
        <v>1.0005044983835341</v>
      </c>
      <c r="AJ192" s="654"/>
      <c r="AK192" s="655">
        <v>1.0005044983835341</v>
      </c>
      <c r="AL192" s="612"/>
      <c r="AM192" s="613">
        <v>1.0005044983835341</v>
      </c>
      <c r="AN192" s="612"/>
      <c r="AO192" s="613">
        <v>1.0005044983835341</v>
      </c>
      <c r="AP192" s="654"/>
      <c r="AQ192" s="655">
        <v>1.0005044983835341</v>
      </c>
      <c r="AR192" s="612"/>
      <c r="AS192" s="613">
        <v>1.0005044983835341</v>
      </c>
      <c r="AT192" s="612"/>
      <c r="AU192" s="613">
        <v>1.0005044983835341</v>
      </c>
      <c r="AV192" s="654"/>
      <c r="AW192" s="655">
        <v>1.0005044983835341</v>
      </c>
      <c r="AX192" s="612"/>
      <c r="AY192" s="613">
        <v>1.0005044983835341</v>
      </c>
      <c r="AZ192" s="612"/>
      <c r="BA192" s="613">
        <v>1.0005044983835341</v>
      </c>
      <c r="BB192" s="612"/>
      <c r="BC192" s="613">
        <v>1.0005044983835341</v>
      </c>
      <c r="BD192" s="612"/>
      <c r="BE192" s="613">
        <v>1.0005044983835341</v>
      </c>
      <c r="BF192" s="612"/>
      <c r="BG192" s="613">
        <v>1.0005044983835341</v>
      </c>
      <c r="BH192" s="612"/>
      <c r="BI192" s="613">
        <v>1.0005044983835341</v>
      </c>
      <c r="BJ192" s="612"/>
      <c r="BK192" s="613">
        <v>1.0005044983835341</v>
      </c>
      <c r="BL192" s="612"/>
      <c r="BM192" s="613">
        <v>1.0005044983835341</v>
      </c>
      <c r="BN192" s="612"/>
      <c r="BO192" s="613">
        <v>1.0005044983835341</v>
      </c>
      <c r="BP192" s="612"/>
      <c r="BQ192" s="613">
        <v>1.0005044983835341</v>
      </c>
      <c r="BR192" s="656">
        <v>1.0005044983835341</v>
      </c>
      <c r="BS192" s="612"/>
      <c r="BT192" s="613">
        <v>1.0005044983835341</v>
      </c>
      <c r="BU192" s="612"/>
      <c r="BV192" s="613">
        <v>1.0005044983835341</v>
      </c>
      <c r="BW192" s="612"/>
      <c r="BX192" s="613">
        <v>1.0006432890417618</v>
      </c>
      <c r="BY192" s="657" t="s">
        <v>2426</v>
      </c>
      <c r="BZ192" s="613"/>
      <c r="CA192" s="612"/>
      <c r="CB192" s="613">
        <v>1.0005044983835341</v>
      </c>
      <c r="CC192" s="656"/>
      <c r="CD192" s="656"/>
      <c r="CE192" s="54"/>
      <c r="CF192" s="54"/>
    </row>
    <row r="193" spans="1:84" x14ac:dyDescent="0.25">
      <c r="A193" s="54" t="s">
        <v>2348</v>
      </c>
      <c r="B193" s="631">
        <v>-341647.49640121748</v>
      </c>
      <c r="C193" s="632">
        <v>1190061.1426813744</v>
      </c>
      <c r="D193" s="631">
        <v>-316683.95543785207</v>
      </c>
      <c r="E193" s="632">
        <v>1226239.3287043895</v>
      </c>
      <c r="F193" s="631">
        <v>-955146.56392969319</v>
      </c>
      <c r="G193" s="632">
        <v>1541535.1212294255</v>
      </c>
      <c r="H193" s="631">
        <v>-381653.57563038758</v>
      </c>
      <c r="I193" s="632">
        <v>1256140.8895858575</v>
      </c>
      <c r="J193" s="633">
        <v>-200253.08878640996</v>
      </c>
      <c r="K193" s="632">
        <v>1080903.8824268098</v>
      </c>
      <c r="L193" s="631">
        <v>-436930.59190532408</v>
      </c>
      <c r="M193" s="632">
        <v>1092678.2483774244</v>
      </c>
      <c r="N193" s="631">
        <v>450610.04479060357</v>
      </c>
      <c r="O193" s="632">
        <v>1097553.0331978651</v>
      </c>
      <c r="P193" s="631">
        <v>-200253.08878640996</v>
      </c>
      <c r="Q193" s="632">
        <v>1080903.8824268098</v>
      </c>
      <c r="R193" s="658">
        <v>-314823.24438847764</v>
      </c>
      <c r="S193" s="659">
        <v>1153200.9982179648</v>
      </c>
      <c r="T193" s="618">
        <v>0</v>
      </c>
      <c r="U193" s="618">
        <v>0</v>
      </c>
      <c r="V193" s="631">
        <v>76958.939552532043</v>
      </c>
      <c r="W193" s="632">
        <v>1629016.7667795506</v>
      </c>
      <c r="X193" s="631">
        <v>74266.769170115353</v>
      </c>
      <c r="Y193" s="632">
        <v>1465718.2793923065</v>
      </c>
      <c r="Z193" s="631">
        <v>76958.939552532043</v>
      </c>
      <c r="AA193" s="632">
        <v>1629016.7667795506</v>
      </c>
      <c r="AB193" s="631">
        <v>99965.964113978785</v>
      </c>
      <c r="AC193" s="632">
        <v>1716346.2731398323</v>
      </c>
      <c r="AD193" s="631">
        <v>96468.964163067591</v>
      </c>
      <c r="AE193" s="632">
        <v>1549992.8331778613</v>
      </c>
      <c r="AF193" s="631">
        <v>99965.964113978785</v>
      </c>
      <c r="AG193" s="632">
        <v>1716346.2731398323</v>
      </c>
      <c r="AH193" s="631">
        <v>704918.54346182337</v>
      </c>
      <c r="AI193" s="632">
        <v>1575726.9879944238</v>
      </c>
      <c r="AJ193" s="660">
        <v>616322.22379175818</v>
      </c>
      <c r="AK193" s="661">
        <v>1030326.1533878035</v>
      </c>
      <c r="AL193" s="631">
        <v>704918.54346182337</v>
      </c>
      <c r="AM193" s="632">
        <v>1575726.9879944238</v>
      </c>
      <c r="AN193" s="631">
        <v>725638.74344382039</v>
      </c>
      <c r="AO193" s="632">
        <v>1722368.4667795124</v>
      </c>
      <c r="AP193" s="660">
        <v>634438.24563394138</v>
      </c>
      <c r="AQ193" s="661">
        <v>2159041.7807637644</v>
      </c>
      <c r="AR193" s="631">
        <v>725638.74344382039</v>
      </c>
      <c r="AS193" s="632">
        <v>1722368.4667795124</v>
      </c>
      <c r="AT193" s="631">
        <v>450610.04479060357</v>
      </c>
      <c r="AU193" s="632">
        <v>1619801.3542437968</v>
      </c>
      <c r="AV193" s="660">
        <v>393975.99544533645</v>
      </c>
      <c r="AW193" s="661">
        <v>1120713.7648952918</v>
      </c>
      <c r="AX193" s="631">
        <v>450610.04479060357</v>
      </c>
      <c r="AY193" s="632">
        <v>1619801.3542437968</v>
      </c>
      <c r="AZ193" s="631">
        <v>69110.800805201725</v>
      </c>
      <c r="BA193" s="632">
        <v>2041375.1250974638</v>
      </c>
      <c r="BB193" s="631">
        <v>66693.173274018554</v>
      </c>
      <c r="BC193" s="632">
        <v>1765027.341898978</v>
      </c>
      <c r="BD193" s="631">
        <v>69110.800805201725</v>
      </c>
      <c r="BE193" s="632">
        <v>2041375.1250974638</v>
      </c>
      <c r="BF193" s="631">
        <v>202635.07107376496</v>
      </c>
      <c r="BG193" s="632">
        <v>1747773.7997718151</v>
      </c>
      <c r="BH193" s="631">
        <v>507340.88788964285</v>
      </c>
      <c r="BI193" s="632">
        <v>4001132.7460263977</v>
      </c>
      <c r="BJ193" s="631">
        <v>262762.38970898872</v>
      </c>
      <c r="BK193" s="632">
        <v>2354679.0487582814</v>
      </c>
      <c r="BL193" s="631">
        <v>251924.55320599087</v>
      </c>
      <c r="BM193" s="632">
        <v>2138023.9077124069</v>
      </c>
      <c r="BN193" s="631">
        <v>202635.07107376496</v>
      </c>
      <c r="BO193" s="632">
        <v>1747773.7997718151</v>
      </c>
      <c r="BP193" s="631">
        <v>194783.07776750144</v>
      </c>
      <c r="BQ193" s="632">
        <v>2569878.4185074726</v>
      </c>
      <c r="BR193" s="629">
        <v>1685993.0995587239</v>
      </c>
      <c r="BS193" s="631">
        <v>-381653.57563038758</v>
      </c>
      <c r="BT193" s="632">
        <v>1256140.8895858575</v>
      </c>
      <c r="BU193" s="631">
        <v>-381653.57563038758</v>
      </c>
      <c r="BV193" s="632">
        <v>1254266.3855488764</v>
      </c>
      <c r="BW193" s="631">
        <v>112547.33797783064</v>
      </c>
      <c r="BX193" s="632">
        <v>593454.14206081501</v>
      </c>
      <c r="BY193" s="631">
        <v>1380.0663813415379</v>
      </c>
      <c r="BZ193" s="632">
        <v>7036.2075143436878</v>
      </c>
      <c r="CA193" s="631">
        <v>194783.07776750144</v>
      </c>
      <c r="CB193" s="632">
        <v>2539878.2391222268</v>
      </c>
      <c r="CC193" s="629">
        <v>16434.704986692755</v>
      </c>
      <c r="CD193" s="635">
        <v>2.3060639659304596</v>
      </c>
      <c r="CE193" s="629">
        <v>560.72823752505087</v>
      </c>
      <c r="CF193" s="638">
        <v>1633.1481433727242</v>
      </c>
    </row>
    <row r="194" spans="1:84" x14ac:dyDescent="0.25">
      <c r="A194" s="54" t="s">
        <v>2349</v>
      </c>
      <c r="B194" s="631">
        <v>104830.71107207253</v>
      </c>
      <c r="C194" s="632">
        <v>414175.86985127715</v>
      </c>
      <c r="D194" s="631">
        <v>107412.55832663104</v>
      </c>
      <c r="E194" s="632">
        <v>407182.15651341848</v>
      </c>
      <c r="F194" s="631">
        <v>90051.602411727683</v>
      </c>
      <c r="G194" s="632">
        <v>712313.10516027373</v>
      </c>
      <c r="H194" s="631">
        <v>105560.27960868557</v>
      </c>
      <c r="I194" s="632">
        <v>438009.96847830765</v>
      </c>
      <c r="J194" s="633">
        <v>106325.79683152579</v>
      </c>
      <c r="K194" s="632">
        <v>261191.85439859558</v>
      </c>
      <c r="L194" s="631">
        <v>102049.94781124308</v>
      </c>
      <c r="M194" s="632">
        <v>333847.44634141889</v>
      </c>
      <c r="N194" s="631">
        <v>118084.38163730329</v>
      </c>
      <c r="O194" s="632">
        <v>107568.6030639196</v>
      </c>
      <c r="P194" s="631">
        <v>106325.79683152579</v>
      </c>
      <c r="Q194" s="632">
        <v>261191.85439859558</v>
      </c>
      <c r="R194" s="658">
        <v>107005.59316567832</v>
      </c>
      <c r="S194" s="659">
        <v>387359.60848665272</v>
      </c>
      <c r="T194" s="618">
        <v>0</v>
      </c>
      <c r="U194" s="618">
        <v>0</v>
      </c>
      <c r="V194" s="631">
        <v>76135.372448139373</v>
      </c>
      <c r="W194" s="632">
        <v>-14823.070003833323</v>
      </c>
      <c r="X194" s="631">
        <v>73472.012012679741</v>
      </c>
      <c r="Y194" s="632">
        <v>29010.927707997533</v>
      </c>
      <c r="Z194" s="631">
        <v>76135.372448139373</v>
      </c>
      <c r="AA194" s="632">
        <v>-14823.070003833323</v>
      </c>
      <c r="AB194" s="631">
        <v>98846.008321520712</v>
      </c>
      <c r="AC194" s="632">
        <v>-14823.070003833323</v>
      </c>
      <c r="AD194" s="631">
        <v>95388.186558765447</v>
      </c>
      <c r="AE194" s="632">
        <v>29010.927707997533</v>
      </c>
      <c r="AF194" s="631">
        <v>98846.008321520712</v>
      </c>
      <c r="AG194" s="632">
        <v>-14823.070003833323</v>
      </c>
      <c r="AH194" s="631">
        <v>90499.952450697267</v>
      </c>
      <c r="AI194" s="632">
        <v>6767.3835048457404</v>
      </c>
      <c r="AJ194" s="660">
        <v>79125.641486948443</v>
      </c>
      <c r="AK194" s="661">
        <v>-28085.084678929063</v>
      </c>
      <c r="AL194" s="631">
        <v>90499.952450697267</v>
      </c>
      <c r="AM194" s="632">
        <v>6767.3835048457404</v>
      </c>
      <c r="AN194" s="631">
        <v>73834.628772359429</v>
      </c>
      <c r="AO194" s="632">
        <v>6767.3835048457404</v>
      </c>
      <c r="AP194" s="660">
        <v>64554.866686215908</v>
      </c>
      <c r="AQ194" s="661">
        <v>-28085.084678929063</v>
      </c>
      <c r="AR194" s="631">
        <v>73834.628772359429</v>
      </c>
      <c r="AS194" s="632">
        <v>6767.3835048457404</v>
      </c>
      <c r="AT194" s="631">
        <v>118084.38163730329</v>
      </c>
      <c r="AU194" s="632">
        <v>6767.3835048457404</v>
      </c>
      <c r="AV194" s="660">
        <v>103243.17520201381</v>
      </c>
      <c r="AW194" s="661">
        <v>12544.424272800758</v>
      </c>
      <c r="AX194" s="631">
        <v>118084.38163730329</v>
      </c>
      <c r="AY194" s="632">
        <v>6767.3835048457404</v>
      </c>
      <c r="AZ194" s="631">
        <v>68764.118512075423</v>
      </c>
      <c r="BA194" s="632">
        <v>6767.3835048457404</v>
      </c>
      <c r="BB194" s="631">
        <v>66358.618588251324</v>
      </c>
      <c r="BC194" s="632">
        <v>29010.927707997533</v>
      </c>
      <c r="BD194" s="631">
        <v>68764.118512075423</v>
      </c>
      <c r="BE194" s="632">
        <v>6767.3835048457404</v>
      </c>
      <c r="BF194" s="631">
        <v>196597.45280838813</v>
      </c>
      <c r="BG194" s="632">
        <v>251627.66006300368</v>
      </c>
      <c r="BH194" s="631">
        <v>328013.33829303988</v>
      </c>
      <c r="BI194" s="632">
        <v>-1458639.4394013416</v>
      </c>
      <c r="BJ194" s="631">
        <v>169884.92487727522</v>
      </c>
      <c r="BK194" s="632">
        <v>-71495.088177285565</v>
      </c>
      <c r="BL194" s="631">
        <v>163039.32660765454</v>
      </c>
      <c r="BM194" s="632">
        <v>-195081.91134641276</v>
      </c>
      <c r="BN194" s="631">
        <v>196597.45280838813</v>
      </c>
      <c r="BO194" s="632">
        <v>251627.66006300368</v>
      </c>
      <c r="BP194" s="631">
        <v>171740.13070785423</v>
      </c>
      <c r="BQ194" s="632">
        <v>69152.355904594006</v>
      </c>
      <c r="BR194" s="629">
        <v>139487.10755311849</v>
      </c>
      <c r="BS194" s="631">
        <v>105560.27960868557</v>
      </c>
      <c r="BT194" s="632">
        <v>438009.96847830765</v>
      </c>
      <c r="BU194" s="631">
        <v>105560.27960868557</v>
      </c>
      <c r="BV194" s="632">
        <v>436144.86756428919</v>
      </c>
      <c r="BW194" s="631">
        <v>108568.14746089967</v>
      </c>
      <c r="BX194" s="632">
        <v>560602.3875007364</v>
      </c>
      <c r="BY194" s="631">
        <v>1331.2731610305323</v>
      </c>
      <c r="BZ194" s="632">
        <v>6900.8772288173013</v>
      </c>
      <c r="CA194" s="631">
        <v>171740.13070785423</v>
      </c>
      <c r="CB194" s="632">
        <v>39808.164544719199</v>
      </c>
      <c r="CC194" s="629">
        <v>360.97787828806167</v>
      </c>
      <c r="CD194" s="635">
        <v>2.2844325291775895</v>
      </c>
      <c r="CE194" s="629">
        <v>551.11645924063077</v>
      </c>
      <c r="CF194" s="638">
        <v>1523.3429235268186</v>
      </c>
    </row>
    <row r="195" spans="1:84" x14ac:dyDescent="0.25">
      <c r="A195" s="54" t="s">
        <v>2221</v>
      </c>
      <c r="B195" s="631">
        <v>1786.9364152076698</v>
      </c>
      <c r="C195" s="632">
        <v>22958.115683504948</v>
      </c>
      <c r="D195" s="631">
        <v>2107.1896427010879</v>
      </c>
      <c r="E195" s="632">
        <v>22670.50695086602</v>
      </c>
      <c r="F195" s="631">
        <v>2490.8522920134033</v>
      </c>
      <c r="G195" s="632">
        <v>175654.87060447069</v>
      </c>
      <c r="H195" s="631">
        <v>2131.1445123951153</v>
      </c>
      <c r="I195" s="632">
        <v>37981.885709195238</v>
      </c>
      <c r="J195" s="633">
        <v>1913.8331557198128</v>
      </c>
      <c r="K195" s="632">
        <v>-1491.5415492753534</v>
      </c>
      <c r="L195" s="631">
        <v>1027.772693374859</v>
      </c>
      <c r="M195" s="632">
        <v>-1542.8637875392012</v>
      </c>
      <c r="N195" s="631">
        <v>4350.4994271684309</v>
      </c>
      <c r="O195" s="632">
        <v>6322.1572429829412</v>
      </c>
      <c r="P195" s="631">
        <v>1913.8331557198128</v>
      </c>
      <c r="Q195" s="632">
        <v>-1491.5415492753534</v>
      </c>
      <c r="R195" s="658">
        <v>2250.3486888603493</v>
      </c>
      <c r="S195" s="659">
        <v>25573.658059219266</v>
      </c>
      <c r="T195" s="618">
        <v>0</v>
      </c>
      <c r="U195" s="618">
        <v>0</v>
      </c>
      <c r="V195" s="631">
        <v>1166.2871809020007</v>
      </c>
      <c r="W195" s="632">
        <v>-35701.82319402579</v>
      </c>
      <c r="X195" s="631">
        <v>1125.4882324747891</v>
      </c>
      <c r="Y195" s="632">
        <v>2399.8078149308858</v>
      </c>
      <c r="Z195" s="631">
        <v>1166.2871809020007</v>
      </c>
      <c r="AA195" s="632">
        <v>-35701.82319402579</v>
      </c>
      <c r="AB195" s="631">
        <v>1601.6856411271995</v>
      </c>
      <c r="AC195" s="632">
        <v>-35701.82319402579</v>
      </c>
      <c r="AD195" s="631">
        <v>1545.655624730711</v>
      </c>
      <c r="AE195" s="632">
        <v>2399.8078149308858</v>
      </c>
      <c r="AF195" s="631">
        <v>1601.6856411271995</v>
      </c>
      <c r="AG195" s="632">
        <v>-35701.82319402579</v>
      </c>
      <c r="AH195" s="631">
        <v>3300.4368845874505</v>
      </c>
      <c r="AI195" s="632">
        <v>-34666.771114038413</v>
      </c>
      <c r="AJ195" s="660">
        <v>2885.6278772349292</v>
      </c>
      <c r="AK195" s="661">
        <v>-15998.99281700239</v>
      </c>
      <c r="AL195" s="631">
        <v>3300.4368845874505</v>
      </c>
      <c r="AM195" s="632">
        <v>-34666.771114038413</v>
      </c>
      <c r="AN195" s="631">
        <v>2535.2175104793955</v>
      </c>
      <c r="AO195" s="632">
        <v>-34666.771114038413</v>
      </c>
      <c r="AP195" s="660">
        <v>2216.58361571969</v>
      </c>
      <c r="AQ195" s="661">
        <v>-15998.99281700239</v>
      </c>
      <c r="AR195" s="631">
        <v>2535.2175104793955</v>
      </c>
      <c r="AS195" s="632">
        <v>-34666.771114038413</v>
      </c>
      <c r="AT195" s="631">
        <v>4350.4994271684309</v>
      </c>
      <c r="AU195" s="632">
        <v>-34666.771114038413</v>
      </c>
      <c r="AV195" s="660">
        <v>3803.7153461581902</v>
      </c>
      <c r="AW195" s="661">
        <v>87.741978830429744</v>
      </c>
      <c r="AX195" s="631">
        <v>4350.4994271684309</v>
      </c>
      <c r="AY195" s="632">
        <v>-34666.771114038413</v>
      </c>
      <c r="AZ195" s="631">
        <v>481.12814236011184</v>
      </c>
      <c r="BA195" s="632">
        <v>-34666.771114038413</v>
      </c>
      <c r="BB195" s="631">
        <v>464.29736295306321</v>
      </c>
      <c r="BC195" s="632">
        <v>2399.8078149308858</v>
      </c>
      <c r="BD195" s="631">
        <v>481.12814236011184</v>
      </c>
      <c r="BE195" s="632">
        <v>-34666.771114038413</v>
      </c>
      <c r="BF195" s="631">
        <v>8872.7800418388488</v>
      </c>
      <c r="BG195" s="632">
        <v>45254.994878646001</v>
      </c>
      <c r="BH195" s="631">
        <v>27269.76696934145</v>
      </c>
      <c r="BI195" s="632">
        <v>-893622.63075706491</v>
      </c>
      <c r="BJ195" s="631">
        <v>14123.579050522032</v>
      </c>
      <c r="BK195" s="632">
        <v>-48681.768535554955</v>
      </c>
      <c r="BL195" s="631">
        <v>10463.55970403265</v>
      </c>
      <c r="BM195" s="632">
        <v>-159783.34924762684</v>
      </c>
      <c r="BN195" s="631">
        <v>8872.7800418388488</v>
      </c>
      <c r="BO195" s="632">
        <v>45254.994878646001</v>
      </c>
      <c r="BP195" s="631">
        <v>1540.9223250153666</v>
      </c>
      <c r="BQ195" s="632">
        <v>-1561.1612274993904</v>
      </c>
      <c r="BR195" s="629">
        <v>-15387.219429121707</v>
      </c>
      <c r="BS195" s="631">
        <v>2131.1445123951153</v>
      </c>
      <c r="BT195" s="632">
        <v>37981.885709195238</v>
      </c>
      <c r="BU195" s="631">
        <v>2131.1445123951153</v>
      </c>
      <c r="BV195" s="632">
        <v>37968.835988534331</v>
      </c>
      <c r="BW195" s="631">
        <v>5710.4764556425807</v>
      </c>
      <c r="BX195" s="632">
        <v>15550.765528457956</v>
      </c>
      <c r="BY195" s="631">
        <v>70.022416517990493</v>
      </c>
      <c r="BZ195" s="632">
        <v>193.54580193708196</v>
      </c>
      <c r="CA195" s="631">
        <v>1540.9223250153666</v>
      </c>
      <c r="CB195" s="632">
        <v>-1771.6160045833285</v>
      </c>
      <c r="CC195" s="629">
        <v>115.5205512206564</v>
      </c>
      <c r="CD195" s="635">
        <v>3.0687506587891326E-2</v>
      </c>
      <c r="CE195" s="629">
        <v>13.673225219513537</v>
      </c>
      <c r="CF195" s="638">
        <v>157.14478333462804</v>
      </c>
    </row>
    <row r="196" spans="1:84" x14ac:dyDescent="0.25">
      <c r="A196" s="54" t="s">
        <v>250</v>
      </c>
      <c r="B196" s="631">
        <v>66597.23861996585</v>
      </c>
      <c r="C196" s="632">
        <v>378638.91817093582</v>
      </c>
      <c r="D196" s="631">
        <v>68372.3023694164</v>
      </c>
      <c r="E196" s="632">
        <v>371948.48979740439</v>
      </c>
      <c r="F196" s="633">
        <v>55857.372011811924</v>
      </c>
      <c r="G196" s="632">
        <v>521930.83446379594</v>
      </c>
      <c r="H196" s="633">
        <v>67040.931464930676</v>
      </c>
      <c r="I196" s="632">
        <v>387247.79354085249</v>
      </c>
      <c r="J196" s="633">
        <v>60623.083302146544</v>
      </c>
      <c r="K196" s="632">
        <v>248219.1050718558</v>
      </c>
      <c r="L196" s="631">
        <v>65485.738298966549</v>
      </c>
      <c r="M196" s="632">
        <v>323586.35938555427</v>
      </c>
      <c r="N196" s="631">
        <v>47250.782060891557</v>
      </c>
      <c r="O196" s="632">
        <v>77899.196844190272</v>
      </c>
      <c r="P196" s="631">
        <v>60623.083302146537</v>
      </c>
      <c r="Q196" s="632">
        <v>248219.10507185577</v>
      </c>
      <c r="R196" s="658">
        <v>69148.953580741974</v>
      </c>
      <c r="S196" s="659">
        <v>349066.23196456465</v>
      </c>
      <c r="T196" s="618">
        <v>0</v>
      </c>
      <c r="U196" s="659">
        <v>0</v>
      </c>
      <c r="V196" s="631">
        <v>19988.985105458567</v>
      </c>
      <c r="W196" s="632">
        <v>-2799.4587238493914</v>
      </c>
      <c r="X196" s="631">
        <v>19289.732309248328</v>
      </c>
      <c r="Y196" s="632">
        <v>9682.8391363826559</v>
      </c>
      <c r="Z196" s="631">
        <v>19988.985105458567</v>
      </c>
      <c r="AA196" s="632">
        <v>-2799.4587238493914</v>
      </c>
      <c r="AB196" s="631">
        <v>26696.304754102952</v>
      </c>
      <c r="AC196" s="632">
        <v>-2799.4587238493914</v>
      </c>
      <c r="AD196" s="631">
        <v>25762.417133030569</v>
      </c>
      <c r="AE196" s="632">
        <v>9682.8391363826559</v>
      </c>
      <c r="AF196" s="631">
        <v>26696.304754102952</v>
      </c>
      <c r="AG196" s="632">
        <v>-2799.4587238493914</v>
      </c>
      <c r="AH196" s="631">
        <v>53588.479196816945</v>
      </c>
      <c r="AI196" s="632">
        <v>16898.648832934818</v>
      </c>
      <c r="AJ196" s="660">
        <v>46853.315144758002</v>
      </c>
      <c r="AK196" s="661">
        <v>-22751.514128341383</v>
      </c>
      <c r="AL196" s="631">
        <v>53588.479196816945</v>
      </c>
      <c r="AM196" s="632">
        <v>16898.648832934818</v>
      </c>
      <c r="AN196" s="631">
        <v>46767.564546445596</v>
      </c>
      <c r="AO196" s="632">
        <v>16898.648832934818</v>
      </c>
      <c r="AP196" s="660">
        <v>40889.673920389614</v>
      </c>
      <c r="AQ196" s="661">
        <v>-22751.514128341383</v>
      </c>
      <c r="AR196" s="631">
        <v>46767.564546445596</v>
      </c>
      <c r="AS196" s="632">
        <v>16898.648832934818</v>
      </c>
      <c r="AT196" s="631">
        <v>47250.78206089155</v>
      </c>
      <c r="AU196" s="632">
        <v>16898.648832934818</v>
      </c>
      <c r="AV196" s="660">
        <v>41312.159178921574</v>
      </c>
      <c r="AW196" s="661">
        <v>1289.5347448522389</v>
      </c>
      <c r="AX196" s="631">
        <v>47250.78206089155</v>
      </c>
      <c r="AY196" s="632">
        <v>16898.648832934818</v>
      </c>
      <c r="AZ196" s="631">
        <v>7068.9735652072122</v>
      </c>
      <c r="BA196" s="632">
        <v>16898.648832934818</v>
      </c>
      <c r="BB196" s="631">
        <v>6821.6873970636807</v>
      </c>
      <c r="BC196" s="632">
        <v>9682.8391363826559</v>
      </c>
      <c r="BD196" s="631">
        <v>7068.9735652072122</v>
      </c>
      <c r="BE196" s="632">
        <v>16898.648832934818</v>
      </c>
      <c r="BF196" s="631">
        <v>133169.39558525319</v>
      </c>
      <c r="BG196" s="632">
        <v>215272.93648714703</v>
      </c>
      <c r="BH196" s="631">
        <v>180428.79119887209</v>
      </c>
      <c r="BI196" s="632">
        <v>-537754.75133182085</v>
      </c>
      <c r="BJ196" s="631">
        <v>93447.820744210156</v>
      </c>
      <c r="BK196" s="632">
        <v>-22896.572461108757</v>
      </c>
      <c r="BL196" s="631">
        <v>94647.082415723591</v>
      </c>
      <c r="BM196" s="632">
        <v>-48501.496855646692</v>
      </c>
      <c r="BN196" s="631">
        <v>133169.39558525319</v>
      </c>
      <c r="BO196" s="632">
        <v>215272.93648714703</v>
      </c>
      <c r="BP196" s="631">
        <v>58464.52239304738</v>
      </c>
      <c r="BQ196" s="632">
        <v>-4188.1149595997613</v>
      </c>
      <c r="BR196" s="629">
        <v>173927.44338064635</v>
      </c>
      <c r="BS196" s="631">
        <v>67040.931464930676</v>
      </c>
      <c r="BT196" s="632">
        <v>387247.79354085249</v>
      </c>
      <c r="BU196" s="631">
        <v>67040.931464930676</v>
      </c>
      <c r="BV196" s="632">
        <v>387056.06056524074</v>
      </c>
      <c r="BW196" s="631">
        <v>70855.890585337547</v>
      </c>
      <c r="BX196" s="632">
        <v>535738.26964094327</v>
      </c>
      <c r="BY196" s="631">
        <v>868.84180713452668</v>
      </c>
      <c r="BZ196" s="632">
        <v>6571.3583032767701</v>
      </c>
      <c r="CA196" s="631">
        <v>58464.52239304738</v>
      </c>
      <c r="CB196" s="632">
        <v>-7411.7945559998725</v>
      </c>
      <c r="CC196" s="629">
        <v>171.90458306079043</v>
      </c>
      <c r="CD196" s="635">
        <v>1.0201788695350016</v>
      </c>
      <c r="CE196" s="629">
        <v>134.44130159980858</v>
      </c>
      <c r="CF196" s="638">
        <v>410.99718563001466</v>
      </c>
    </row>
    <row r="197" spans="1:84" x14ac:dyDescent="0.25">
      <c r="A197" s="54" t="s">
        <v>2350</v>
      </c>
      <c r="B197" s="631">
        <v>36446.536036899</v>
      </c>
      <c r="C197" s="632">
        <v>12578.835996836369</v>
      </c>
      <c r="D197" s="631">
        <v>36933.06631451354</v>
      </c>
      <c r="E197" s="632">
        <v>12563.159765148048</v>
      </c>
      <c r="F197" s="631">
        <v>31703.378107902365</v>
      </c>
      <c r="G197" s="632">
        <v>14727.400092007041</v>
      </c>
      <c r="H197" s="631">
        <v>36388.203631359771</v>
      </c>
      <c r="I197" s="632">
        <v>12780.289228259924</v>
      </c>
      <c r="J197" s="633">
        <v>43788.880373659442</v>
      </c>
      <c r="K197" s="632">
        <v>14464.290876015149</v>
      </c>
      <c r="L197" s="631">
        <v>35536.436818901668</v>
      </c>
      <c r="M197" s="632">
        <v>11803.950743403828</v>
      </c>
      <c r="N197" s="631">
        <v>66483.100149243313</v>
      </c>
      <c r="O197" s="632">
        <v>23347.248976746392</v>
      </c>
      <c r="P197" s="631">
        <v>43788.880373659442</v>
      </c>
      <c r="Q197" s="632">
        <v>14464.290876015149</v>
      </c>
      <c r="R197" s="658">
        <v>35606.290896076003</v>
      </c>
      <c r="S197" s="659">
        <v>12719.718462868826</v>
      </c>
      <c r="T197" s="618">
        <v>0</v>
      </c>
      <c r="U197" s="618">
        <v>0</v>
      </c>
      <c r="V197" s="631">
        <v>54980.100161778806</v>
      </c>
      <c r="W197" s="632">
        <v>23678.211914041858</v>
      </c>
      <c r="X197" s="631">
        <v>53056.791470956625</v>
      </c>
      <c r="Y197" s="632">
        <v>16928.280756683991</v>
      </c>
      <c r="Z197" s="631">
        <v>54980.100161778806</v>
      </c>
      <c r="AA197" s="632">
        <v>23678.211914041858</v>
      </c>
      <c r="AB197" s="631">
        <v>70548.017926290559</v>
      </c>
      <c r="AC197" s="632">
        <v>23678.211914041858</v>
      </c>
      <c r="AD197" s="631">
        <v>68080.113801004161</v>
      </c>
      <c r="AE197" s="632">
        <v>16928.280756683991</v>
      </c>
      <c r="AF197" s="631">
        <v>70548.017926290559</v>
      </c>
      <c r="AG197" s="632">
        <v>23678.211914041858</v>
      </c>
      <c r="AH197" s="631">
        <v>33611.036369292866</v>
      </c>
      <c r="AI197" s="632">
        <v>24535.505785949335</v>
      </c>
      <c r="AJ197" s="660">
        <v>29386.698464955512</v>
      </c>
      <c r="AK197" s="661">
        <v>10665.422266414709</v>
      </c>
      <c r="AL197" s="631">
        <v>33611.036369292866</v>
      </c>
      <c r="AM197" s="632">
        <v>24535.505785949335</v>
      </c>
      <c r="AN197" s="631">
        <v>24531.846715434433</v>
      </c>
      <c r="AO197" s="632">
        <v>24535.505785949335</v>
      </c>
      <c r="AP197" s="660">
        <v>21448.609150106608</v>
      </c>
      <c r="AQ197" s="661">
        <v>10665.422266414709</v>
      </c>
      <c r="AR197" s="631">
        <v>24531.846715434433</v>
      </c>
      <c r="AS197" s="632">
        <v>24535.505785949335</v>
      </c>
      <c r="AT197" s="631">
        <v>66483.100149243313</v>
      </c>
      <c r="AU197" s="632">
        <v>24535.505785949335</v>
      </c>
      <c r="AV197" s="660">
        <v>58127.300676934043</v>
      </c>
      <c r="AW197" s="661">
        <v>11167.147549118088</v>
      </c>
      <c r="AX197" s="631">
        <v>66483.100149243313</v>
      </c>
      <c r="AY197" s="632">
        <v>24535.505785949335</v>
      </c>
      <c r="AZ197" s="631">
        <v>61214.016804508094</v>
      </c>
      <c r="BA197" s="632">
        <v>24535.505785949335</v>
      </c>
      <c r="BB197" s="631">
        <v>59072.633828234582</v>
      </c>
      <c r="BC197" s="632">
        <v>16928.280756683991</v>
      </c>
      <c r="BD197" s="631">
        <v>61214.016804508094</v>
      </c>
      <c r="BE197" s="632">
        <v>24535.505785949335</v>
      </c>
      <c r="BF197" s="631">
        <v>54555.277181296093</v>
      </c>
      <c r="BG197" s="632">
        <v>-8900.2713027893587</v>
      </c>
      <c r="BH197" s="631">
        <v>120314.78012482634</v>
      </c>
      <c r="BI197" s="632">
        <v>-27262.057312455865</v>
      </c>
      <c r="BJ197" s="631">
        <v>62313.525082543019</v>
      </c>
      <c r="BK197" s="632">
        <v>83.252819378145432</v>
      </c>
      <c r="BL197" s="631">
        <v>57928.68448789831</v>
      </c>
      <c r="BM197" s="632">
        <v>13202.934756860781</v>
      </c>
      <c r="BN197" s="631">
        <v>54555.277181296093</v>
      </c>
      <c r="BO197" s="632">
        <v>-8900.2713027893587</v>
      </c>
      <c r="BP197" s="631">
        <v>111734.68598979148</v>
      </c>
      <c r="BQ197" s="632">
        <v>74901.632091693158</v>
      </c>
      <c r="BR197" s="629">
        <v>-19053.116398406157</v>
      </c>
      <c r="BS197" s="631">
        <v>36388.203631359771</v>
      </c>
      <c r="BT197" s="632">
        <v>12780.289228259924</v>
      </c>
      <c r="BU197" s="631">
        <v>36388.203631359771</v>
      </c>
      <c r="BV197" s="632">
        <v>11119.971010514109</v>
      </c>
      <c r="BW197" s="631">
        <v>32001.780419919531</v>
      </c>
      <c r="BX197" s="632">
        <v>9313.3523313352507</v>
      </c>
      <c r="BY197" s="631">
        <v>392.40893737801497</v>
      </c>
      <c r="BZ197" s="632">
        <v>135.9731236034479</v>
      </c>
      <c r="CA197" s="631">
        <v>111734.68598979148</v>
      </c>
      <c r="CB197" s="632">
        <v>48991.5751053024</v>
      </c>
      <c r="CC197" s="629">
        <v>66.309622645157916</v>
      </c>
      <c r="CD197" s="635">
        <v>1.2335661530546971</v>
      </c>
      <c r="CE197" s="629">
        <v>403.0019324213086</v>
      </c>
      <c r="CF197" s="638">
        <v>955.20095456217587</v>
      </c>
    </row>
    <row r="198" spans="1:84" x14ac:dyDescent="0.25">
      <c r="A198" s="72" t="s">
        <v>2351</v>
      </c>
      <c r="B198" s="636">
        <v>355.34882787410714</v>
      </c>
      <c r="C198" s="632">
        <v>43.90352360830196</v>
      </c>
      <c r="D198" s="636">
        <v>366.42110060434385</v>
      </c>
      <c r="E198" s="632">
        <v>43.802470230493014</v>
      </c>
      <c r="F198" s="636">
        <v>331.80625070500355</v>
      </c>
      <c r="G198" s="632">
        <v>56.406686779177249</v>
      </c>
      <c r="H198" s="636">
        <v>362.4613633415492</v>
      </c>
      <c r="I198" s="637">
        <v>45.067439287362838</v>
      </c>
      <c r="J198" s="624">
        <v>244.04339506493955</v>
      </c>
      <c r="K198" s="637">
        <v>61.365974849875109</v>
      </c>
      <c r="L198" s="636">
        <v>329.49333469054829</v>
      </c>
      <c r="M198" s="637">
        <v>37.204345225959315</v>
      </c>
      <c r="N198" s="636">
        <v>9.0560610945155275</v>
      </c>
      <c r="O198" s="637">
        <v>131.46717611325428</v>
      </c>
      <c r="P198" s="636">
        <v>244.04339506493955</v>
      </c>
      <c r="Q198" s="637">
        <v>61.365974849875109</v>
      </c>
      <c r="R198" s="662">
        <v>356.27545189512676</v>
      </c>
      <c r="S198" s="663">
        <v>45.271437060442473</v>
      </c>
      <c r="T198" s="619">
        <v>0</v>
      </c>
      <c r="U198" s="619">
        <v>0</v>
      </c>
      <c r="V198" s="636">
        <v>3.2950718528621796</v>
      </c>
      <c r="W198" s="637">
        <v>123.6347835150505</v>
      </c>
      <c r="X198" s="636">
        <v>3.1798039593362404</v>
      </c>
      <c r="Y198" s="637">
        <v>35.909980775504593</v>
      </c>
      <c r="Z198" s="636">
        <v>3.2950718528621796</v>
      </c>
      <c r="AA198" s="637">
        <v>123.6347835150505</v>
      </c>
      <c r="AB198" s="636">
        <v>4.0095407441137043</v>
      </c>
      <c r="AC198" s="637">
        <v>123.6347835150505</v>
      </c>
      <c r="AD198" s="636">
        <v>3.8692793670578571</v>
      </c>
      <c r="AE198" s="637">
        <v>35.909980775504593</v>
      </c>
      <c r="AF198" s="636">
        <v>4.0095407441137043</v>
      </c>
      <c r="AG198" s="637">
        <v>123.6347835150505</v>
      </c>
      <c r="AH198" s="636">
        <v>8.0792502165859208</v>
      </c>
      <c r="AI198" s="637">
        <v>155.12150158216875</v>
      </c>
      <c r="AJ198" s="664">
        <v>7.0638253259767616</v>
      </c>
      <c r="AK198" s="665">
        <v>30.091420274326314</v>
      </c>
      <c r="AL198" s="636">
        <v>8.0792502165859208</v>
      </c>
      <c r="AM198" s="637">
        <v>155.12150158216875</v>
      </c>
      <c r="AN198" s="636">
        <v>5.8087026022456199</v>
      </c>
      <c r="AO198" s="637">
        <v>155.12150158216875</v>
      </c>
      <c r="AP198" s="664">
        <v>5.0786470839305968</v>
      </c>
      <c r="AQ198" s="665">
        <v>30.091420274326314</v>
      </c>
      <c r="AR198" s="636">
        <v>5.8087026022456199</v>
      </c>
      <c r="AS198" s="637">
        <v>155.12150158216875</v>
      </c>
      <c r="AT198" s="636">
        <v>9.0560610945155275</v>
      </c>
      <c r="AU198" s="637">
        <v>155.12150158216875</v>
      </c>
      <c r="AV198" s="664">
        <v>7.9178676236201326</v>
      </c>
      <c r="AW198" s="665">
        <v>34.459792215598398</v>
      </c>
      <c r="AX198" s="636">
        <v>9.0560610945155275</v>
      </c>
      <c r="AY198" s="637">
        <v>155.12150158216875</v>
      </c>
      <c r="AZ198" s="636">
        <v>1.3644652399743438</v>
      </c>
      <c r="BA198" s="637">
        <v>155.12150158216875</v>
      </c>
      <c r="BB198" s="636">
        <v>1.3167336453310914</v>
      </c>
      <c r="BC198" s="637">
        <v>35.909980775504593</v>
      </c>
      <c r="BD198" s="636">
        <v>1.3644652399743438</v>
      </c>
      <c r="BE198" s="637">
        <v>155.12150158216875</v>
      </c>
      <c r="BF198" s="636">
        <v>15.554906560358795</v>
      </c>
      <c r="BG198" s="637">
        <v>-330.05053983685121</v>
      </c>
      <c r="BH198" s="636">
        <v>17.658772347059113</v>
      </c>
      <c r="BI198" s="637">
        <v>-369.10779124127623</v>
      </c>
      <c r="BJ198" s="636">
        <v>9.1458451940297181</v>
      </c>
      <c r="BK198" s="637">
        <v>-113.16796405340547</v>
      </c>
      <c r="BL198" s="636">
        <v>11.363323244304933</v>
      </c>
      <c r="BM198" s="637">
        <v>91.376572665581946</v>
      </c>
      <c r="BN198" s="636">
        <v>15.554906560358795</v>
      </c>
      <c r="BO198" s="637">
        <v>-330.05053983685121</v>
      </c>
      <c r="BP198" s="636">
        <v>22.042239906970355</v>
      </c>
      <c r="BQ198" s="637">
        <v>-60.060617969357899</v>
      </c>
      <c r="BR198" s="635">
        <v>136.80082765621822</v>
      </c>
      <c r="BS198" s="636">
        <v>362.4613633415492</v>
      </c>
      <c r="BT198" s="637">
        <v>45.067439287362838</v>
      </c>
      <c r="BU198" s="636">
        <v>362.4613633415492</v>
      </c>
      <c r="BV198" s="637">
        <v>45.030430663951549</v>
      </c>
      <c r="BW198" s="636">
        <v>400.44090015695895</v>
      </c>
      <c r="BX198" s="637">
        <v>5.8766058360713007</v>
      </c>
      <c r="BY198" s="636">
        <v>4.9102451817173982</v>
      </c>
      <c r="BZ198" s="637">
        <v>7.3260691230855851E-2</v>
      </c>
      <c r="CA198" s="636">
        <v>22.042239906970355</v>
      </c>
      <c r="CB198" s="637">
        <v>-60.647788869822222</v>
      </c>
      <c r="CC198" s="635">
        <v>0.59835421292704039</v>
      </c>
      <c r="CD198" s="635">
        <v>106.77081115387833</v>
      </c>
      <c r="CE198" s="635">
        <v>85.091059537674113</v>
      </c>
      <c r="CF198" s="638">
        <v>85.142334221279455</v>
      </c>
    </row>
    <row r="199" spans="1:84" x14ac:dyDescent="0.25">
      <c r="A199" s="54" t="s">
        <v>254</v>
      </c>
      <c r="B199" s="614">
        <v>4.6964648659217216</v>
      </c>
      <c r="C199" s="613">
        <v>55.316178843419458</v>
      </c>
      <c r="D199" s="614">
        <v>5.1044598712190892</v>
      </c>
      <c r="E199" s="613">
        <v>55.223458072368032</v>
      </c>
      <c r="F199" s="612">
        <v>4.6462378129566062</v>
      </c>
      <c r="G199" s="613">
        <v>58.35967827969025</v>
      </c>
      <c r="H199" s="636">
        <v>5.04027789015446</v>
      </c>
      <c r="I199" s="637">
        <v>55.541252527797567</v>
      </c>
      <c r="J199" s="624">
        <v>4.5464180370420948</v>
      </c>
      <c r="K199" s="637">
        <v>53.831082329007792</v>
      </c>
      <c r="L199" s="636">
        <v>4.0390993935475903</v>
      </c>
      <c r="M199" s="637">
        <v>54.512453759747224</v>
      </c>
      <c r="N199" s="636">
        <v>5.9415443066519842</v>
      </c>
      <c r="O199" s="637">
        <v>55.478661539431769</v>
      </c>
      <c r="P199" s="612">
        <v>4.5464180370420948</v>
      </c>
      <c r="Q199" s="613">
        <v>53.831082329007792</v>
      </c>
      <c r="R199" s="662">
        <v>5.4565478189493657</v>
      </c>
      <c r="S199" s="613">
        <v>54.883884492137405</v>
      </c>
      <c r="T199" s="614">
        <v>0</v>
      </c>
      <c r="U199" s="614">
        <v>0</v>
      </c>
      <c r="V199" s="612">
        <v>3.2230755801873734</v>
      </c>
      <c r="W199" s="613">
        <v>34.20602563804929</v>
      </c>
      <c r="X199" s="612">
        <v>3.110326253498068</v>
      </c>
      <c r="Y199" s="613">
        <v>21.276360736685817</v>
      </c>
      <c r="Z199" s="612">
        <v>3.2230755801873734</v>
      </c>
      <c r="AA199" s="613">
        <v>34.20602563804929</v>
      </c>
      <c r="AB199" s="612">
        <v>4.5581432212232951</v>
      </c>
      <c r="AC199" s="613">
        <v>34.228755056389062</v>
      </c>
      <c r="AD199" s="612">
        <v>4.3986906839308029</v>
      </c>
      <c r="AE199" s="613">
        <v>21.309505901078886</v>
      </c>
      <c r="AF199" s="612">
        <v>4.5581432212232951</v>
      </c>
      <c r="AG199" s="613">
        <v>34.228755056389062</v>
      </c>
      <c r="AH199" s="612">
        <v>6.5371302861838672</v>
      </c>
      <c r="AI199" s="613">
        <v>34.961118932322357</v>
      </c>
      <c r="AJ199" s="654">
        <v>5.7155237474831635</v>
      </c>
      <c r="AK199" s="655">
        <v>20.2152882243732</v>
      </c>
      <c r="AL199" s="612">
        <v>6.5371302861838672</v>
      </c>
      <c r="AM199" s="613">
        <v>34.961118932322357</v>
      </c>
      <c r="AN199" s="612">
        <v>5.7185936038589498</v>
      </c>
      <c r="AO199" s="613">
        <v>34.99093653797226</v>
      </c>
      <c r="AP199" s="654">
        <v>4.9998632602045454</v>
      </c>
      <c r="AQ199" s="655">
        <v>20.241358262099887</v>
      </c>
      <c r="AR199" s="612">
        <v>5.7185936038589498</v>
      </c>
      <c r="AS199" s="613">
        <v>34.99093653797226</v>
      </c>
      <c r="AT199" s="612">
        <v>5.9415443066519833</v>
      </c>
      <c r="AU199" s="613">
        <v>34.968291659370479</v>
      </c>
      <c r="AV199" s="654">
        <v>5.1947928364170348</v>
      </c>
      <c r="AW199" s="655">
        <v>20.598298911233552</v>
      </c>
      <c r="AX199" s="612">
        <v>5.9415443066519833</v>
      </c>
      <c r="AY199" s="613">
        <v>34.968291659370479</v>
      </c>
      <c r="AZ199" s="612">
        <v>1.5334116700555893</v>
      </c>
      <c r="BA199" s="613">
        <v>35.048356098398912</v>
      </c>
      <c r="BB199" s="612">
        <v>1.4797700072912803</v>
      </c>
      <c r="BC199" s="613">
        <v>21.361502979014787</v>
      </c>
      <c r="BD199" s="612">
        <v>1.5334116700555893</v>
      </c>
      <c r="BE199" s="613">
        <v>35.048356098398912</v>
      </c>
      <c r="BF199" s="612">
        <v>18.66182315854503</v>
      </c>
      <c r="BG199" s="613">
        <v>41.926506715984317</v>
      </c>
      <c r="BH199" s="612">
        <v>22.482029584671896</v>
      </c>
      <c r="BI199" s="613">
        <v>57.903689671566525</v>
      </c>
      <c r="BJ199" s="612">
        <v>11.643910357293256</v>
      </c>
      <c r="BK199" s="613">
        <v>57.728890212878667</v>
      </c>
      <c r="BL199" s="612">
        <v>11.604161422793876</v>
      </c>
      <c r="BM199" s="613">
        <v>69.435368140839643</v>
      </c>
      <c r="BN199" s="612">
        <v>18.66182315854503</v>
      </c>
      <c r="BO199" s="613">
        <v>41.926506715984317</v>
      </c>
      <c r="BP199" s="612">
        <v>176.48353520045146</v>
      </c>
      <c r="BQ199" s="613">
        <v>54.030021443457557</v>
      </c>
      <c r="BR199" s="656">
        <v>37.953488785689295</v>
      </c>
      <c r="BS199" s="612">
        <v>5.04027789015446</v>
      </c>
      <c r="BT199" s="613">
        <v>55.541252527797567</v>
      </c>
      <c r="BU199" s="612">
        <v>5.04027789015446</v>
      </c>
      <c r="BV199" s="613">
        <v>55.518591868988992</v>
      </c>
      <c r="BW199" s="612">
        <v>8.9484678161298277</v>
      </c>
      <c r="BX199" s="613">
        <v>49.047054267868518</v>
      </c>
      <c r="BY199" s="612">
        <v>0.10972698083707748</v>
      </c>
      <c r="BZ199" s="613">
        <v>0.42748140845029148</v>
      </c>
      <c r="CA199" s="636">
        <v>176.48353520045146</v>
      </c>
      <c r="CB199" s="614">
        <v>54.06046269582631</v>
      </c>
      <c r="CC199" s="656">
        <v>3.7623213831721653E-3</v>
      </c>
      <c r="CD199" s="656">
        <v>170.23402939332226</v>
      </c>
      <c r="CE199" s="666">
        <v>2.5972402112917022E-2</v>
      </c>
      <c r="CF199" s="656">
        <v>7.4409969590876396E-2</v>
      </c>
    </row>
    <row r="200" spans="1:84" x14ac:dyDescent="0.25">
      <c r="A200" s="54" t="s">
        <v>251</v>
      </c>
      <c r="B200" s="612">
        <v>20.06176239471732</v>
      </c>
      <c r="C200" s="613">
        <v>22.107455846463726</v>
      </c>
      <c r="D200" s="614">
        <v>20.410759409014997</v>
      </c>
      <c r="E200" s="613">
        <v>21.745085312150756</v>
      </c>
      <c r="F200" s="612">
        <v>17.095978264778264</v>
      </c>
      <c r="G200" s="613">
        <v>33.992494048631571</v>
      </c>
      <c r="H200" s="636">
        <v>20.063576428947929</v>
      </c>
      <c r="I200" s="637">
        <v>22.986132859842925</v>
      </c>
      <c r="J200" s="624">
        <v>18.931335227184551</v>
      </c>
      <c r="K200" s="637">
        <v>15.934509158872707</v>
      </c>
      <c r="L200" s="636">
        <v>19.702350189356572</v>
      </c>
      <c r="M200" s="637">
        <v>19.105270997337051</v>
      </c>
      <c r="N200" s="636">
        <v>16.811044081211488</v>
      </c>
      <c r="O200" s="637">
        <v>11.680033393403585</v>
      </c>
      <c r="P200" s="612">
        <v>18.931335227184551</v>
      </c>
      <c r="Q200" s="613">
        <v>15.934509158872707</v>
      </c>
      <c r="R200" s="662">
        <v>20.061081023184581</v>
      </c>
      <c r="S200" s="613">
        <v>20.49162606577978</v>
      </c>
      <c r="T200" s="614">
        <v>0</v>
      </c>
      <c r="U200" s="614">
        <v>0</v>
      </c>
      <c r="V200" s="612">
        <v>14.643132834495411</v>
      </c>
      <c r="W200" s="613">
        <v>155.53993550022614</v>
      </c>
      <c r="X200" s="612">
        <v>14.130888139440684</v>
      </c>
      <c r="Y200" s="613">
        <v>18.686588302109268</v>
      </c>
      <c r="Z200" s="612">
        <v>14.643132834495411</v>
      </c>
      <c r="AA200" s="613">
        <v>155.53993550022614</v>
      </c>
      <c r="AB200" s="612">
        <v>19.699990879193344</v>
      </c>
      <c r="AC200" s="613">
        <v>155.90033749029683</v>
      </c>
      <c r="AD200" s="612">
        <v>19.010847651815041</v>
      </c>
      <c r="AE200" s="613">
        <v>19.212144347139301</v>
      </c>
      <c r="AF200" s="612">
        <v>19.699990879193344</v>
      </c>
      <c r="AG200" s="613">
        <v>155.90033749029683</v>
      </c>
      <c r="AH200" s="612">
        <v>13.300643617394071</v>
      </c>
      <c r="AI200" s="613">
        <v>155.66789812628252</v>
      </c>
      <c r="AJ200" s="654">
        <v>11.628978026136894</v>
      </c>
      <c r="AK200" s="655">
        <v>7.8983958839564563</v>
      </c>
      <c r="AL200" s="612">
        <v>13.300643617394071</v>
      </c>
      <c r="AM200" s="613">
        <v>155.66789812628252</v>
      </c>
      <c r="AN200" s="612">
        <v>10.082848317216829</v>
      </c>
      <c r="AO200" s="613">
        <v>156.14069176555327</v>
      </c>
      <c r="AP200" s="654">
        <v>8.8156050860912174</v>
      </c>
      <c r="AQ200" s="655">
        <v>8.3117673718434499</v>
      </c>
      <c r="AR200" s="612">
        <v>10.082848317216829</v>
      </c>
      <c r="AS200" s="613">
        <v>156.14069176555327</v>
      </c>
      <c r="AT200" s="612">
        <v>16.811044081211485</v>
      </c>
      <c r="AU200" s="613">
        <v>155.7816302536838</v>
      </c>
      <c r="AV200" s="654">
        <v>14.698180617452667</v>
      </c>
      <c r="AW200" s="655">
        <v>9.3855632230859829</v>
      </c>
      <c r="AX200" s="612">
        <v>16.811044081211485</v>
      </c>
      <c r="AY200" s="613">
        <v>155.7816302536838</v>
      </c>
      <c r="AZ200" s="612">
        <v>11.987460661683784</v>
      </c>
      <c r="BA200" s="613">
        <v>157.05114726148383</v>
      </c>
      <c r="BB200" s="612">
        <v>11.568116440708113</v>
      </c>
      <c r="BC200" s="613">
        <v>20.036619927016783</v>
      </c>
      <c r="BD200" s="612">
        <v>11.987460661683784</v>
      </c>
      <c r="BE200" s="613">
        <v>157.05114726148383</v>
      </c>
      <c r="BF200" s="612">
        <v>35.174327018862485</v>
      </c>
      <c r="BG200" s="613">
        <v>3.6341811699767579</v>
      </c>
      <c r="BH200" s="612">
        <v>82.44452275334416</v>
      </c>
      <c r="BI200" s="613">
        <v>870.13066451703617</v>
      </c>
      <c r="BJ200" s="612">
        <v>42.699731746829016</v>
      </c>
      <c r="BK200" s="613">
        <v>215.80221313809955</v>
      </c>
      <c r="BL200" s="612">
        <v>34.930066643524015</v>
      </c>
      <c r="BM200" s="613">
        <v>350.06247221852914</v>
      </c>
      <c r="BN200" s="612">
        <v>35.174327018862485</v>
      </c>
      <c r="BO200" s="613">
        <v>3.6341811699767579</v>
      </c>
      <c r="BP200" s="612">
        <v>2203.6071254609269</v>
      </c>
      <c r="BQ200" s="613">
        <v>25.266719862377499</v>
      </c>
      <c r="BR200" s="656">
        <v>158.70226282697587</v>
      </c>
      <c r="BS200" s="612">
        <v>20.063576428947929</v>
      </c>
      <c r="BT200" s="613">
        <v>22.986132859842925</v>
      </c>
      <c r="BU200" s="612">
        <v>20.063576428947929</v>
      </c>
      <c r="BV200" s="613">
        <v>22.666429713192386</v>
      </c>
      <c r="BW200" s="612">
        <v>18.749602743923329</v>
      </c>
      <c r="BX200" s="613">
        <v>29.530230080672542</v>
      </c>
      <c r="BY200" s="612">
        <v>0.22990944855128057</v>
      </c>
      <c r="BZ200" s="613">
        <v>0.36522805677371961</v>
      </c>
      <c r="CA200" s="636">
        <v>2203.6071254609269</v>
      </c>
      <c r="CB200" s="613">
        <v>20.233183072529009</v>
      </c>
      <c r="CC200" s="656">
        <v>2.0034911406636505E-2</v>
      </c>
      <c r="CD200" s="656">
        <v>368.43029675236278</v>
      </c>
      <c r="CE200" s="666">
        <v>0.14130461920358892</v>
      </c>
      <c r="CF200" s="656">
        <v>0.69747243125948932</v>
      </c>
    </row>
    <row r="201" spans="1:84" x14ac:dyDescent="0.25">
      <c r="A201" s="54" t="s">
        <v>2352</v>
      </c>
      <c r="B201" s="612">
        <v>53.757116700577228</v>
      </c>
      <c r="C201" s="613">
        <v>32.529179833445539</v>
      </c>
      <c r="D201" s="614">
        <v>54.151470960653356</v>
      </c>
      <c r="E201" s="613">
        <v>32.034836828236472</v>
      </c>
      <c r="F201" s="612">
        <v>45.45799172873371</v>
      </c>
      <c r="G201" s="613">
        <v>63.695675550482775</v>
      </c>
      <c r="H201" s="636">
        <v>53.264377095757972</v>
      </c>
      <c r="I201" s="637">
        <v>35.223166135695507</v>
      </c>
      <c r="J201" s="624">
        <v>43.279138276883629</v>
      </c>
      <c r="K201" s="637">
        <v>24.991766152585388</v>
      </c>
      <c r="L201" s="636">
        <v>53.349508062135875</v>
      </c>
      <c r="M201" s="637">
        <v>27.619035052803852</v>
      </c>
      <c r="N201" s="636">
        <v>15.585621367439964</v>
      </c>
      <c r="O201" s="637">
        <v>20.582500959470071</v>
      </c>
      <c r="P201" s="612">
        <v>43.279138276883629</v>
      </c>
      <c r="Q201" s="613">
        <v>24.991766152585388</v>
      </c>
      <c r="R201" s="662">
        <v>52.116614023873382</v>
      </c>
      <c r="S201" s="613">
        <v>30.622142931017017</v>
      </c>
      <c r="T201" s="614">
        <v>0</v>
      </c>
      <c r="U201" s="614">
        <v>0</v>
      </c>
      <c r="V201" s="612">
        <v>21.166126705292825</v>
      </c>
      <c r="W201" s="613">
        <v>228.16707480364951</v>
      </c>
      <c r="X201" s="612">
        <v>20.425695252393556</v>
      </c>
      <c r="Y201" s="613">
        <v>112.64963872299388</v>
      </c>
      <c r="Z201" s="612">
        <v>21.166126705292825</v>
      </c>
      <c r="AA201" s="613">
        <v>228.16707480364951</v>
      </c>
      <c r="AB201" s="612">
        <v>28.692572990927584</v>
      </c>
      <c r="AC201" s="613">
        <v>230.54035245738888</v>
      </c>
      <c r="AD201" s="612">
        <v>27.688852102222025</v>
      </c>
      <c r="AE201" s="613">
        <v>116.11046982776328</v>
      </c>
      <c r="AF201" s="612">
        <v>28.692572990927584</v>
      </c>
      <c r="AG201" s="613">
        <v>230.54035245738888</v>
      </c>
      <c r="AH201" s="612">
        <v>27.040354632232354</v>
      </c>
      <c r="AI201" s="613">
        <v>220.39131384703836</v>
      </c>
      <c r="AJ201" s="654">
        <v>23.64184011561299</v>
      </c>
      <c r="AK201" s="655">
        <v>55.489903819508925</v>
      </c>
      <c r="AL201" s="612">
        <v>27.040354632232354</v>
      </c>
      <c r="AM201" s="613">
        <v>220.39131384703836</v>
      </c>
      <c r="AN201" s="612">
        <v>23.490551735597133</v>
      </c>
      <c r="AO201" s="613">
        <v>223.50470003752883</v>
      </c>
      <c r="AP201" s="654">
        <v>20.5381873098117</v>
      </c>
      <c r="AQ201" s="655">
        <v>58.211990106276581</v>
      </c>
      <c r="AR201" s="612">
        <v>23.490551735597133</v>
      </c>
      <c r="AS201" s="613">
        <v>223.50470003752883</v>
      </c>
      <c r="AT201" s="612">
        <v>15.585621367439964</v>
      </c>
      <c r="AU201" s="613">
        <v>221.14024954636903</v>
      </c>
      <c r="AV201" s="654">
        <v>13.626772780275381</v>
      </c>
      <c r="AW201" s="655">
        <v>58.899179351651448</v>
      </c>
      <c r="AX201" s="612">
        <v>15.585621367439964</v>
      </c>
      <c r="AY201" s="613">
        <v>221.14024954636903</v>
      </c>
      <c r="AZ201" s="612">
        <v>14.812020713224722</v>
      </c>
      <c r="BA201" s="613">
        <v>229.50012665210585</v>
      </c>
      <c r="BB201" s="612">
        <v>14.293867998286824</v>
      </c>
      <c r="BC201" s="613">
        <v>121.53971140712648</v>
      </c>
      <c r="BD201" s="612">
        <v>14.812020713224722</v>
      </c>
      <c r="BE201" s="613">
        <v>229.50012665210585</v>
      </c>
      <c r="BF201" s="612">
        <v>81.156736280314036</v>
      </c>
      <c r="BG201" s="613">
        <v>4.6775552822603172</v>
      </c>
      <c r="BH201" s="612">
        <v>105.9425792241541</v>
      </c>
      <c r="BI201" s="613">
        <v>237.56638689354008</v>
      </c>
      <c r="BJ201" s="612">
        <v>54.869863544149958</v>
      </c>
      <c r="BK201" s="613">
        <v>71.186610574485172</v>
      </c>
      <c r="BL201" s="612">
        <v>51.103749843257695</v>
      </c>
      <c r="BM201" s="613">
        <v>129.25713228317224</v>
      </c>
      <c r="BN201" s="612">
        <v>81.156736280314036</v>
      </c>
      <c r="BO201" s="613">
        <v>4.6775552822603172</v>
      </c>
      <c r="BP201" s="612">
        <v>145.46674246149689</v>
      </c>
      <c r="BQ201" s="613">
        <v>187.44235159903653</v>
      </c>
      <c r="BR201" s="656">
        <v>268.25929224324972</v>
      </c>
      <c r="BS201" s="612">
        <v>53.264377095757972</v>
      </c>
      <c r="BT201" s="613">
        <v>35.223166135695507</v>
      </c>
      <c r="BU201" s="612">
        <v>53.264377095757972</v>
      </c>
      <c r="BV201" s="613">
        <v>35.005452666301174</v>
      </c>
      <c r="BW201" s="612">
        <v>42.684544757922758</v>
      </c>
      <c r="BX201" s="613">
        <v>42.8389155301142</v>
      </c>
      <c r="BY201" s="612">
        <v>0.52340203048499345</v>
      </c>
      <c r="BZ201" s="613">
        <v>0.53482219276676601</v>
      </c>
      <c r="CA201" s="636">
        <v>145.46674246149689</v>
      </c>
      <c r="CB201" s="613">
        <v>194.42286700692586</v>
      </c>
      <c r="CC201" s="656">
        <v>2.8272483554080529E-2</v>
      </c>
      <c r="CD201" s="656">
        <v>545.33093617713735</v>
      </c>
      <c r="CE201" s="666">
        <v>0.23633592497385189</v>
      </c>
      <c r="CF201" s="656">
        <v>0.33914620520371186</v>
      </c>
    </row>
    <row r="202" spans="1:84" x14ac:dyDescent="0.25">
      <c r="A202" s="54" t="s">
        <v>252</v>
      </c>
      <c r="B202" s="612">
        <v>2.7934719795759846</v>
      </c>
      <c r="C202" s="613">
        <v>13.018192975249136</v>
      </c>
      <c r="D202" s="614">
        <v>2.8260759687429542</v>
      </c>
      <c r="E202" s="613">
        <v>12.990165421486042</v>
      </c>
      <c r="F202" s="612">
        <v>2.3790742966802365</v>
      </c>
      <c r="G202" s="613">
        <v>15.142679902435304</v>
      </c>
      <c r="H202" s="636">
        <v>2.7799086220241689</v>
      </c>
      <c r="I202" s="637">
        <v>13.206678109500308</v>
      </c>
      <c r="J202" s="624">
        <v>2.6919292818310989</v>
      </c>
      <c r="K202" s="637">
        <v>12.373050276924337</v>
      </c>
      <c r="L202" s="636">
        <v>2.7548982204599239</v>
      </c>
      <c r="M202" s="637">
        <v>12.436029021296617</v>
      </c>
      <c r="N202" s="636">
        <v>2.5187647006018281</v>
      </c>
      <c r="O202" s="637">
        <v>12.449201190145921</v>
      </c>
      <c r="P202" s="612">
        <v>2.6919292818310989</v>
      </c>
      <c r="Q202" s="613">
        <v>12.373050276924337</v>
      </c>
      <c r="R202" s="662">
        <v>2.7401698869471529</v>
      </c>
      <c r="S202" s="613">
        <v>12.96091263842229</v>
      </c>
      <c r="T202" s="614">
        <v>0</v>
      </c>
      <c r="U202" s="614">
        <v>0</v>
      </c>
      <c r="V202" s="612">
        <v>1.5089338598506541</v>
      </c>
      <c r="W202" s="613">
        <v>13.050940922070701</v>
      </c>
      <c r="X202" s="612">
        <v>1.456148477539835</v>
      </c>
      <c r="Y202" s="613">
        <v>2.7597707432965231</v>
      </c>
      <c r="Z202" s="612">
        <v>1.5089338598506541</v>
      </c>
      <c r="AA202" s="613">
        <v>13.050940922070701</v>
      </c>
      <c r="AB202" s="612">
        <v>2.0583075874196366</v>
      </c>
      <c r="AC202" s="613">
        <v>13.103966269232183</v>
      </c>
      <c r="AD202" s="612">
        <v>1.9863040650611692</v>
      </c>
      <c r="AE202" s="613">
        <v>2.837094932696997</v>
      </c>
      <c r="AF202" s="612">
        <v>2.0583075874196366</v>
      </c>
      <c r="AG202" s="613">
        <v>13.103966269232183</v>
      </c>
      <c r="AH202" s="612">
        <v>1.9263905831821999</v>
      </c>
      <c r="AI202" s="613">
        <v>12.995920425990493</v>
      </c>
      <c r="AJ202" s="654">
        <v>1.684275919722142</v>
      </c>
      <c r="AK202" s="655">
        <v>0.95989913927605686</v>
      </c>
      <c r="AL202" s="612">
        <v>1.9263905831821999</v>
      </c>
      <c r="AM202" s="613">
        <v>12.995920425990493</v>
      </c>
      <c r="AN202" s="612">
        <v>1.5136155852833573</v>
      </c>
      <c r="AO202" s="613">
        <v>13.065481770125009</v>
      </c>
      <c r="AP202" s="654">
        <v>1.3233797466958312</v>
      </c>
      <c r="AQ202" s="655">
        <v>1.0207178008144331</v>
      </c>
      <c r="AR202" s="612">
        <v>1.5136155852833573</v>
      </c>
      <c r="AS202" s="613">
        <v>13.065481770125009</v>
      </c>
      <c r="AT202" s="612">
        <v>2.5187647006018281</v>
      </c>
      <c r="AU202" s="613">
        <v>13.012653645298423</v>
      </c>
      <c r="AV202" s="654">
        <v>2.2021986453349318</v>
      </c>
      <c r="AW202" s="655">
        <v>1.3234809614857421</v>
      </c>
      <c r="AX202" s="612">
        <v>2.5187647006018281</v>
      </c>
      <c r="AY202" s="613">
        <v>13.012653645298423</v>
      </c>
      <c r="AZ202" s="612">
        <v>0.97247365625466886</v>
      </c>
      <c r="BA202" s="613">
        <v>13.19943557747588</v>
      </c>
      <c r="BB202" s="612">
        <v>0.9384546743108988</v>
      </c>
      <c r="BC202" s="613">
        <v>2.9583986575754109</v>
      </c>
      <c r="BD202" s="612">
        <v>0.97247365625466886</v>
      </c>
      <c r="BE202" s="613">
        <v>13.19943557747588</v>
      </c>
      <c r="BF202" s="612">
        <v>4.5798996856363301</v>
      </c>
      <c r="BG202" s="613">
        <v>11.65263855169351</v>
      </c>
      <c r="BH202" s="612">
        <v>5.6459133413445874</v>
      </c>
      <c r="BI202" s="613">
        <v>63.401943934640443</v>
      </c>
      <c r="BJ202" s="612">
        <v>2.9241358563322897</v>
      </c>
      <c r="BK202" s="613">
        <v>26.401902856428574</v>
      </c>
      <c r="BL202" s="612">
        <v>3.0332545160267714</v>
      </c>
      <c r="BM202" s="613">
        <v>35.247970244214201</v>
      </c>
      <c r="BN202" s="612">
        <v>4.5798996856363301</v>
      </c>
      <c r="BO202" s="613">
        <v>11.65263855169351</v>
      </c>
      <c r="BP202" s="612">
        <v>189.13096881871024</v>
      </c>
      <c r="BQ202" s="613">
        <v>123.49608739065839</v>
      </c>
      <c r="BR202" s="656">
        <v>14.926320291291873</v>
      </c>
      <c r="BS202" s="612">
        <v>2.7799086220241689</v>
      </c>
      <c r="BT202" s="613">
        <v>13.206678109500308</v>
      </c>
      <c r="BU202" s="612">
        <v>2.7799086220241689</v>
      </c>
      <c r="BV202" s="613">
        <v>13.194525046423751</v>
      </c>
      <c r="BW202" s="612">
        <v>2.3873180277861419</v>
      </c>
      <c r="BX202" s="613">
        <v>10.817199575007077</v>
      </c>
      <c r="BY202" s="612">
        <v>2.9273525353102639E-2</v>
      </c>
      <c r="BZ202" s="613">
        <v>0.158847515585993</v>
      </c>
      <c r="CA202" s="636">
        <v>189.13096881871024</v>
      </c>
      <c r="CB202" s="613">
        <v>124.24325698616924</v>
      </c>
      <c r="CC202" s="656">
        <v>2.8949710604547485E-3</v>
      </c>
      <c r="CD202" s="656">
        <v>66.485265694213169</v>
      </c>
      <c r="CE202" s="666">
        <v>1.5648424315038271E-2</v>
      </c>
      <c r="CF202" s="656">
        <v>2.3772386870384382E-2</v>
      </c>
    </row>
    <row r="203" spans="1:84" x14ac:dyDescent="0.25">
      <c r="A203" s="54" t="s">
        <v>253</v>
      </c>
      <c r="B203" s="612">
        <v>2.3312746184997799</v>
      </c>
      <c r="C203" s="613">
        <v>3.4719470531160219</v>
      </c>
      <c r="D203" s="614">
        <v>2.3576735961222761</v>
      </c>
      <c r="E203" s="613">
        <v>3.4466522949614227</v>
      </c>
      <c r="F203" s="612">
        <v>1.981914739470082</v>
      </c>
      <c r="G203" s="613">
        <v>4.4863206973914869</v>
      </c>
      <c r="H203" s="636">
        <v>2.3189097564640444</v>
      </c>
      <c r="I203" s="637">
        <v>3.551757399321386</v>
      </c>
      <c r="J203" s="624">
        <v>2.260157846980309</v>
      </c>
      <c r="K203" s="637">
        <v>3.0202851926503875</v>
      </c>
      <c r="L203" s="636">
        <v>2.3015699187657499</v>
      </c>
      <c r="M203" s="637">
        <v>3.1152069976761854</v>
      </c>
      <c r="N203" s="636">
        <v>2.1462746495703477</v>
      </c>
      <c r="O203" s="637">
        <v>2.9299139574732327</v>
      </c>
      <c r="P203" s="612">
        <v>2.260157846980309</v>
      </c>
      <c r="Q203" s="613">
        <v>3.0202851926503875</v>
      </c>
      <c r="R203" s="662">
        <v>2.285923215844448</v>
      </c>
      <c r="S203" s="613">
        <v>3.3915974611431228</v>
      </c>
      <c r="T203" s="614">
        <v>0</v>
      </c>
      <c r="U203" s="614">
        <v>0</v>
      </c>
      <c r="V203" s="612">
        <v>1.2892329079446128</v>
      </c>
      <c r="W203" s="613">
        <v>3.7268383797085174</v>
      </c>
      <c r="X203" s="612">
        <v>1.2441330836618698</v>
      </c>
      <c r="Y203" s="613">
        <v>2.3210527449093754</v>
      </c>
      <c r="Z203" s="612">
        <v>1.2892329079446128</v>
      </c>
      <c r="AA203" s="613">
        <v>3.7268383797085174</v>
      </c>
      <c r="AB203" s="612">
        <v>1.7960889921426419</v>
      </c>
      <c r="AC203" s="613">
        <v>3.77366959844526</v>
      </c>
      <c r="AD203" s="612">
        <v>1.7332583760121996</v>
      </c>
      <c r="AE203" s="613">
        <v>2.3893443492326241</v>
      </c>
      <c r="AF203" s="612">
        <v>1.7960889921426419</v>
      </c>
      <c r="AG203" s="613">
        <v>3.77366959844526</v>
      </c>
      <c r="AH203" s="612">
        <v>1.5591313914336284</v>
      </c>
      <c r="AI203" s="613">
        <v>3.6773097671849211</v>
      </c>
      <c r="AJ203" s="654">
        <v>1.3631749870457952</v>
      </c>
      <c r="AK203" s="655">
        <v>0.95368962383822298</v>
      </c>
      <c r="AL203" s="612">
        <v>1.5591313914336284</v>
      </c>
      <c r="AM203" s="613">
        <v>3.6773097671849211</v>
      </c>
      <c r="AN203" s="612">
        <v>1.2304839322577981</v>
      </c>
      <c r="AO203" s="613">
        <v>3.7387453389854146</v>
      </c>
      <c r="AP203" s="654">
        <v>1.0758329462363263</v>
      </c>
      <c r="AQ203" s="655">
        <v>1.0074037849752673</v>
      </c>
      <c r="AR203" s="612">
        <v>1.2304839322577981</v>
      </c>
      <c r="AS203" s="613">
        <v>3.7387453389854146</v>
      </c>
      <c r="AT203" s="612">
        <v>2.1462746495703473</v>
      </c>
      <c r="AU203" s="613">
        <v>3.6920883041588173</v>
      </c>
      <c r="AV203" s="654">
        <v>1.876524283777353</v>
      </c>
      <c r="AW203" s="655">
        <v>1.1666002487084166</v>
      </c>
      <c r="AX203" s="612">
        <v>2.1462746495703473</v>
      </c>
      <c r="AY203" s="613">
        <v>3.6920883041588173</v>
      </c>
      <c r="AZ203" s="612">
        <v>0.74629473332428931</v>
      </c>
      <c r="BA203" s="613">
        <v>3.8570514018116295</v>
      </c>
      <c r="BB203" s="612">
        <v>0.72018792118146135</v>
      </c>
      <c r="BC203" s="613">
        <v>2.4964780424088784</v>
      </c>
      <c r="BD203" s="612">
        <v>0.74629473332428931</v>
      </c>
      <c r="BE203" s="613">
        <v>3.8570514018116295</v>
      </c>
      <c r="BF203" s="612">
        <v>3.9069516855711162</v>
      </c>
      <c r="BG203" s="613">
        <v>2.0963788394377865</v>
      </c>
      <c r="BH203" s="612">
        <v>4.7222997567543619</v>
      </c>
      <c r="BI203" s="613">
        <v>57.485059423285826</v>
      </c>
      <c r="BJ203" s="612">
        <v>2.4457771857663899</v>
      </c>
      <c r="BK203" s="613">
        <v>16.445339015948704</v>
      </c>
      <c r="BL203" s="612">
        <v>2.4490997865938482</v>
      </c>
      <c r="BM203" s="613">
        <v>25.460251505823518</v>
      </c>
      <c r="BN203" s="612">
        <v>3.9069516855711162</v>
      </c>
      <c r="BO203" s="613">
        <v>2.0963788394377865</v>
      </c>
      <c r="BP203" s="612">
        <v>65.975010024016299</v>
      </c>
      <c r="BQ203" s="613">
        <v>61.11825503864052</v>
      </c>
      <c r="BR203" s="656">
        <v>5.3037443026223858</v>
      </c>
      <c r="BS203" s="612">
        <v>2.3189097564640444</v>
      </c>
      <c r="BT203" s="613">
        <v>3.551757399321386</v>
      </c>
      <c r="BU203" s="612">
        <v>2.3189097564640444</v>
      </c>
      <c r="BV203" s="613">
        <v>3.5482969840663832</v>
      </c>
      <c r="BW203" s="612">
        <v>1.9809968966697395</v>
      </c>
      <c r="BX203" s="613">
        <v>3.5318315193044962</v>
      </c>
      <c r="BY203" s="612">
        <v>2.4291176208666474E-2</v>
      </c>
      <c r="BZ203" s="613">
        <v>4.7970118136627299E-2</v>
      </c>
      <c r="CA203" s="636">
        <v>65.975010024016299</v>
      </c>
      <c r="CB203" s="613">
        <v>61.951871598196497</v>
      </c>
      <c r="CC203" s="656">
        <v>1.5643608178162621E-3</v>
      </c>
      <c r="CD203" s="656">
        <v>57.799244792218687</v>
      </c>
      <c r="CE203" s="666">
        <v>1.4325279575568169E-2</v>
      </c>
      <c r="CF203" s="656">
        <v>1.9987379414730673E-2</v>
      </c>
    </row>
    <row r="204" spans="1:84" x14ac:dyDescent="0.25">
      <c r="A204" s="54" t="s">
        <v>898</v>
      </c>
      <c r="B204" s="612">
        <v>10.872484314320655</v>
      </c>
      <c r="C204" s="613">
        <v>6.7105204030842422</v>
      </c>
      <c r="D204" s="614">
        <v>11.034617758095502</v>
      </c>
      <c r="E204" s="613">
        <v>6.606898237262441</v>
      </c>
      <c r="F204" s="612">
        <v>9.4042416739745676</v>
      </c>
      <c r="G204" s="613">
        <v>44.416957438828028</v>
      </c>
      <c r="H204" s="636">
        <v>10.864284144713539</v>
      </c>
      <c r="I204" s="637">
        <v>10.392567154880981</v>
      </c>
      <c r="J204" s="624">
        <v>9.8232031356452421</v>
      </c>
      <c r="K204" s="637">
        <v>5.7345613660071528</v>
      </c>
      <c r="L204" s="636">
        <v>10.619033996241425</v>
      </c>
      <c r="M204" s="637">
        <v>3.5174226185661799</v>
      </c>
      <c r="N204" s="636">
        <v>7.6346682690057452</v>
      </c>
      <c r="O204" s="637">
        <v>13.663660420043223</v>
      </c>
      <c r="P204" s="612">
        <v>9.8232031356452421</v>
      </c>
      <c r="Q204" s="613">
        <v>5.7345613660071528</v>
      </c>
      <c r="R204" s="662">
        <v>10.707384621770327</v>
      </c>
      <c r="S204" s="613">
        <v>7.0149635130961334</v>
      </c>
      <c r="T204" s="614">
        <v>0</v>
      </c>
      <c r="U204" s="614">
        <v>0</v>
      </c>
      <c r="V204" s="612">
        <v>2.6722136459963264</v>
      </c>
      <c r="W204" s="613">
        <v>133.56753828311165</v>
      </c>
      <c r="X204" s="612">
        <v>2.5787345196586986</v>
      </c>
      <c r="Y204" s="613">
        <v>98.47786719027178</v>
      </c>
      <c r="Z204" s="612">
        <v>2.6722136459963264</v>
      </c>
      <c r="AA204" s="613">
        <v>133.56753828311165</v>
      </c>
      <c r="AB204" s="612">
        <v>3.0662638715508383</v>
      </c>
      <c r="AC204" s="613">
        <v>93.435307906224779</v>
      </c>
      <c r="AD204" s="612">
        <v>2.9590001172987583</v>
      </c>
      <c r="AE204" s="613">
        <v>39.955059724713628</v>
      </c>
      <c r="AF204" s="612">
        <v>3.0662638715508383</v>
      </c>
      <c r="AG204" s="613">
        <v>93.435307906224779</v>
      </c>
      <c r="AH204" s="612">
        <v>8.5311159926393394</v>
      </c>
      <c r="AI204" s="613">
        <v>198.45006073775855</v>
      </c>
      <c r="AJ204" s="654">
        <v>7.4588992285371258</v>
      </c>
      <c r="AK204" s="655">
        <v>112.45246592917843</v>
      </c>
      <c r="AL204" s="612">
        <v>8.5311159926393394</v>
      </c>
      <c r="AM204" s="613">
        <v>198.45006073775855</v>
      </c>
      <c r="AN204" s="612">
        <v>5.8211612477933308</v>
      </c>
      <c r="AO204" s="613">
        <v>162.77696706941467</v>
      </c>
      <c r="AP204" s="654">
        <v>5.0895398887810543</v>
      </c>
      <c r="AQ204" s="655">
        <v>81.262875836637306</v>
      </c>
      <c r="AR204" s="612">
        <v>5.8211612477933308</v>
      </c>
      <c r="AS204" s="613">
        <v>162.77696706941467</v>
      </c>
      <c r="AT204" s="612">
        <v>7.6346682690057452</v>
      </c>
      <c r="AU204" s="613">
        <v>186.55902951497728</v>
      </c>
      <c r="AV204" s="654">
        <v>6.6751197980378096</v>
      </c>
      <c r="AW204" s="655">
        <v>104.80167941044361</v>
      </c>
      <c r="AX204" s="612">
        <v>7.6346682690057452</v>
      </c>
      <c r="AY204" s="613">
        <v>186.55902951497728</v>
      </c>
      <c r="AZ204" s="612">
        <v>0.30863376990407121</v>
      </c>
      <c r="BA204" s="613">
        <v>115.21284217828946</v>
      </c>
      <c r="BB204" s="612">
        <v>0.29783717240441127</v>
      </c>
      <c r="BC204" s="613">
        <v>78.970264701752399</v>
      </c>
      <c r="BD204" s="612">
        <v>0.30863376990407121</v>
      </c>
      <c r="BE204" s="613">
        <v>115.21284217828946</v>
      </c>
      <c r="BF204" s="612">
        <v>16.686626981980766</v>
      </c>
      <c r="BG204" s="613">
        <v>1.7757533299655179</v>
      </c>
      <c r="BH204" s="612">
        <v>19.362961956465838</v>
      </c>
      <c r="BI204" s="613">
        <v>-103.44274740529082</v>
      </c>
      <c r="BJ204" s="612">
        <v>10.028480410260002</v>
      </c>
      <c r="BK204" s="613">
        <v>-3.9411077324027066</v>
      </c>
      <c r="BL204" s="612">
        <v>12.068483330568219</v>
      </c>
      <c r="BM204" s="613">
        <v>-7.5742653030569205</v>
      </c>
      <c r="BN204" s="612">
        <v>16.686626981980766</v>
      </c>
      <c r="BO204" s="613">
        <v>1.7757533299655179</v>
      </c>
      <c r="BP204" s="612">
        <v>17.099413063992927</v>
      </c>
      <c r="BQ204" s="613">
        <v>64.310332862319399</v>
      </c>
      <c r="BR204" s="656">
        <v>159.51622511145104</v>
      </c>
      <c r="BS204" s="612">
        <v>10.864284144713539</v>
      </c>
      <c r="BT204" s="613">
        <v>10.392567154880981</v>
      </c>
      <c r="BU204" s="612">
        <v>10.864284144713539</v>
      </c>
      <c r="BV204" s="613">
        <v>10.384142586396331</v>
      </c>
      <c r="BW204" s="612">
        <v>9.7840191896837201</v>
      </c>
      <c r="BX204" s="613">
        <v>7.1813300992814071</v>
      </c>
      <c r="BY204" s="612">
        <v>0.11997259287236713</v>
      </c>
      <c r="BZ204" s="613">
        <v>8.8451439957624708E-2</v>
      </c>
      <c r="CA204" s="636">
        <v>17.099413063992927</v>
      </c>
      <c r="CB204" s="613">
        <v>71.916455652865395</v>
      </c>
      <c r="CC204" s="656">
        <v>1.4376064395631613E-2</v>
      </c>
      <c r="CD204" s="656">
        <v>51.005463778969485</v>
      </c>
      <c r="CE204" s="666">
        <v>5.0170320045200445E-2</v>
      </c>
      <c r="CF204" s="656">
        <v>7.0275669068535759E-2</v>
      </c>
    </row>
    <row r="205" spans="1:84" x14ac:dyDescent="0.25">
      <c r="A205" s="54" t="s">
        <v>899</v>
      </c>
      <c r="B205" s="612">
        <v>0.46537772004421557</v>
      </c>
      <c r="C205" s="613">
        <v>0.22784121425130835</v>
      </c>
      <c r="D205" s="614">
        <v>0.4717011424351733</v>
      </c>
      <c r="E205" s="613">
        <v>0.22395098858617288</v>
      </c>
      <c r="F205" s="612">
        <v>0.40402732009939035</v>
      </c>
      <c r="G205" s="613">
        <v>0.34091094059264437</v>
      </c>
      <c r="H205" s="636">
        <v>0.46464920619400191</v>
      </c>
      <c r="I205" s="637">
        <v>0.23582204394175113</v>
      </c>
      <c r="J205" s="624">
        <v>0.57835014179858224</v>
      </c>
      <c r="K205" s="637">
        <v>0.18544484765565158</v>
      </c>
      <c r="L205" s="636">
        <v>0.45411628458376224</v>
      </c>
      <c r="M205" s="637">
        <v>0.201334108752451</v>
      </c>
      <c r="N205" s="636">
        <v>0.91999324913933678</v>
      </c>
      <c r="O205" s="637">
        <v>0.15946500295374422</v>
      </c>
      <c r="P205" s="612">
        <v>0.57835014179858224</v>
      </c>
      <c r="Q205" s="613">
        <v>0.18544484765565158</v>
      </c>
      <c r="R205" s="662">
        <v>0.45543949165489211</v>
      </c>
      <c r="S205" s="613">
        <v>0.21082277725073117</v>
      </c>
      <c r="T205" s="614">
        <v>0</v>
      </c>
      <c r="U205" s="614">
        <v>0</v>
      </c>
      <c r="V205" s="612">
        <v>0.69602190114553564</v>
      </c>
      <c r="W205" s="613">
        <v>0.32061272464930679</v>
      </c>
      <c r="X205" s="612">
        <v>0.67167372848785101</v>
      </c>
      <c r="Y205" s="613">
        <v>0.33680085366700246</v>
      </c>
      <c r="Z205" s="612">
        <v>0.69602190114553564</v>
      </c>
      <c r="AA205" s="613">
        <v>0.32061272464930679</v>
      </c>
      <c r="AB205" s="612">
        <v>1.0059012477131632</v>
      </c>
      <c r="AC205" s="613">
        <v>0.32707543283497725</v>
      </c>
      <c r="AD205" s="612">
        <v>0.97071290491016959</v>
      </c>
      <c r="AE205" s="613">
        <v>0.34622509506361077</v>
      </c>
      <c r="AF205" s="612">
        <v>1.0059012477131632</v>
      </c>
      <c r="AG205" s="613">
        <v>0.32707543283497725</v>
      </c>
      <c r="AH205" s="612">
        <v>0.3068661759533694</v>
      </c>
      <c r="AI205" s="613">
        <v>0.31539277673548172</v>
      </c>
      <c r="AJ205" s="654">
        <v>0.26829829591551424</v>
      </c>
      <c r="AK205" s="655">
        <v>0.14548781857513121</v>
      </c>
      <c r="AL205" s="612">
        <v>0.3068661759533694</v>
      </c>
      <c r="AM205" s="613">
        <v>0.31539277673548172</v>
      </c>
      <c r="AN205" s="612">
        <v>0.24015928096097522</v>
      </c>
      <c r="AO205" s="613">
        <v>0.32387088564394995</v>
      </c>
      <c r="AP205" s="654">
        <v>0.20997532761615317</v>
      </c>
      <c r="AQ205" s="655">
        <v>0.1529003728120433</v>
      </c>
      <c r="AR205" s="612">
        <v>0.24015928096097522</v>
      </c>
      <c r="AS205" s="613">
        <v>0.32387088564394995</v>
      </c>
      <c r="AT205" s="612">
        <v>0.91999324913933678</v>
      </c>
      <c r="AU205" s="613">
        <v>0.31743221483787959</v>
      </c>
      <c r="AV205" s="654">
        <v>0.80436568230761685</v>
      </c>
      <c r="AW205" s="655">
        <v>0.15860828833619697</v>
      </c>
      <c r="AX205" s="612">
        <v>0.91999324913933678</v>
      </c>
      <c r="AY205" s="613">
        <v>0.31743221483787959</v>
      </c>
      <c r="AZ205" s="612">
        <v>0.50644116455169119</v>
      </c>
      <c r="BA205" s="613">
        <v>0.34019712231396759</v>
      </c>
      <c r="BB205" s="612">
        <v>0.48872488738402042</v>
      </c>
      <c r="BC205" s="613">
        <v>0.36100954472193381</v>
      </c>
      <c r="BD205" s="612">
        <v>0.50644116455169119</v>
      </c>
      <c r="BE205" s="613">
        <v>0.34019712231396759</v>
      </c>
      <c r="BF205" s="612">
        <v>0.87764881448638599</v>
      </c>
      <c r="BG205" s="613">
        <v>-0.10262199188488666</v>
      </c>
      <c r="BH205" s="612">
        <v>1.3833574653356018</v>
      </c>
      <c r="BI205" s="613">
        <v>8.2862634031369673</v>
      </c>
      <c r="BJ205" s="612">
        <v>0.71646958108454251</v>
      </c>
      <c r="BK205" s="613">
        <v>1.9938780536098821</v>
      </c>
      <c r="BL205" s="612">
        <v>0.53362491714639315</v>
      </c>
      <c r="BM205" s="613">
        <v>3.3918940918910203</v>
      </c>
      <c r="BN205" s="612">
        <v>0.87764881448638599</v>
      </c>
      <c r="BO205" s="613">
        <v>-0.10262199188488666</v>
      </c>
      <c r="BP205" s="612">
        <v>9.9046368912394005</v>
      </c>
      <c r="BQ205" s="613">
        <v>8.2642518472788531</v>
      </c>
      <c r="BR205" s="656">
        <v>-0.56252665398073054</v>
      </c>
      <c r="BS205" s="612">
        <v>0.46464920619400191</v>
      </c>
      <c r="BT205" s="613">
        <v>0.23582204394175113</v>
      </c>
      <c r="BU205" s="612">
        <v>0.46464920619400191</v>
      </c>
      <c r="BV205" s="613">
        <v>0.23549854141207693</v>
      </c>
      <c r="BW205" s="612">
        <v>0.41017493471349359</v>
      </c>
      <c r="BX205" s="613">
        <v>0.32538817341002291</v>
      </c>
      <c r="BY205" s="612">
        <v>5.0296048581669316E-3</v>
      </c>
      <c r="BZ205" s="613">
        <v>4.0221135099875616E-3</v>
      </c>
      <c r="CA205" s="636">
        <v>9.9046368912394005</v>
      </c>
      <c r="CB205" s="613">
        <v>8.39298374347287</v>
      </c>
      <c r="CC205" s="656">
        <v>9.1094169380156553E-5</v>
      </c>
      <c r="CD205" s="656">
        <v>16.158383029449364</v>
      </c>
      <c r="CE205" s="666">
        <v>7.6801396771646489E-3</v>
      </c>
      <c r="CF205" s="656">
        <v>8.3327794369325286E-3</v>
      </c>
    </row>
    <row r="206" spans="1:84" x14ac:dyDescent="0.25">
      <c r="A206" s="54" t="s">
        <v>900</v>
      </c>
      <c r="B206" s="612">
        <v>0.38500378819123504</v>
      </c>
      <c r="C206" s="613">
        <v>0.64260452706868487</v>
      </c>
      <c r="D206" s="614">
        <v>0.39081637510017531</v>
      </c>
      <c r="E206" s="613">
        <v>0.63232792669414228</v>
      </c>
      <c r="F206" s="612">
        <v>0.33070311405983799</v>
      </c>
      <c r="G206" s="613">
        <v>0.88540814557830383</v>
      </c>
      <c r="H206" s="636">
        <v>0.38454348258523929</v>
      </c>
      <c r="I206" s="637">
        <v>0.65809839559941286</v>
      </c>
      <c r="J206" s="624">
        <v>0.38694516991292349</v>
      </c>
      <c r="K206" s="637">
        <v>0.45257036320996957</v>
      </c>
      <c r="L206" s="636">
        <v>0.37725486407967196</v>
      </c>
      <c r="M206" s="637">
        <v>0.53356699113501393</v>
      </c>
      <c r="N206" s="636">
        <v>0.41359351095436564</v>
      </c>
      <c r="O206" s="637">
        <v>0.27803955690762017</v>
      </c>
      <c r="P206" s="612">
        <v>0.38694516991292349</v>
      </c>
      <c r="Q206" s="613">
        <v>0.45257036320996957</v>
      </c>
      <c r="R206" s="662">
        <v>0.38062007508556284</v>
      </c>
      <c r="S206" s="613">
        <v>0.60334607803917384</v>
      </c>
      <c r="T206" s="614">
        <v>0</v>
      </c>
      <c r="U206" s="614">
        <v>0</v>
      </c>
      <c r="V206" s="612">
        <v>0.2477990257386187</v>
      </c>
      <c r="W206" s="613">
        <v>0.5734053788225113</v>
      </c>
      <c r="X206" s="612">
        <v>0.23913054353545829</v>
      </c>
      <c r="Y206" s="613">
        <v>0.77486524972003623</v>
      </c>
      <c r="Z206" s="612">
        <v>0.2477990257386187</v>
      </c>
      <c r="AA206" s="613">
        <v>0.5734053788225113</v>
      </c>
      <c r="AB206" s="612">
        <v>0.35013485553686918</v>
      </c>
      <c r="AC206" s="613">
        <v>0.58867235613068913</v>
      </c>
      <c r="AD206" s="612">
        <v>0.33788647096440932</v>
      </c>
      <c r="AE206" s="613">
        <v>0.79712831272941487</v>
      </c>
      <c r="AF206" s="612">
        <v>0.35013485553686918</v>
      </c>
      <c r="AG206" s="613">
        <v>0.58867235613068913</v>
      </c>
      <c r="AH206" s="612">
        <v>0.26060379644171161</v>
      </c>
      <c r="AI206" s="613">
        <v>0.54127817214359819</v>
      </c>
      <c r="AJ206" s="654">
        <v>0.22785031382881896</v>
      </c>
      <c r="AK206" s="655">
        <v>0.34828105635317597</v>
      </c>
      <c r="AL206" s="612">
        <v>0.26060379644171161</v>
      </c>
      <c r="AM206" s="613">
        <v>0.54127817214359819</v>
      </c>
      <c r="AN206" s="612">
        <v>0.19819432962355552</v>
      </c>
      <c r="AO206" s="613">
        <v>0.56130616855055937</v>
      </c>
      <c r="AP206" s="654">
        <v>0.17328465978015783</v>
      </c>
      <c r="AQ206" s="655">
        <v>0.3657918728838524</v>
      </c>
      <c r="AR206" s="612">
        <v>0.19819432962355552</v>
      </c>
      <c r="AS206" s="613">
        <v>0.56130616855055937</v>
      </c>
      <c r="AT206" s="612">
        <v>0.41359351095436564</v>
      </c>
      <c r="AU206" s="613">
        <v>0.54609597519708875</v>
      </c>
      <c r="AV206" s="654">
        <v>0.36161181285627597</v>
      </c>
      <c r="AW206" s="655">
        <v>0.40862954461615797</v>
      </c>
      <c r="AX206" s="612">
        <v>0.41359351095436564</v>
      </c>
      <c r="AY206" s="613">
        <v>0.54609597519708875</v>
      </c>
      <c r="AZ206" s="612">
        <v>0.15513890906196823</v>
      </c>
      <c r="BA206" s="613">
        <v>0.59987394503190539</v>
      </c>
      <c r="BB206" s="612">
        <v>0.14971185434206824</v>
      </c>
      <c r="BC206" s="613">
        <v>0.83205389670487406</v>
      </c>
      <c r="BD206" s="612">
        <v>0.15513890906196823</v>
      </c>
      <c r="BE206" s="613">
        <v>0.59987394503190539</v>
      </c>
      <c r="BF206" s="612">
        <v>0.68151580712437621</v>
      </c>
      <c r="BG206" s="613">
        <v>0.26439357077379411</v>
      </c>
      <c r="BH206" s="612">
        <v>1.0254044554999262</v>
      </c>
      <c r="BI206" s="613">
        <v>19.540538420773515</v>
      </c>
      <c r="BJ206" s="612">
        <v>0.53107827809063413</v>
      </c>
      <c r="BK206" s="613">
        <v>4.9456319772053954</v>
      </c>
      <c r="BL206" s="612">
        <v>0.46827932330355282</v>
      </c>
      <c r="BM206" s="613">
        <v>7.908055638189146</v>
      </c>
      <c r="BN206" s="612">
        <v>0.68151580712437621</v>
      </c>
      <c r="BO206" s="613">
        <v>0.26439357077379411</v>
      </c>
      <c r="BP206" s="612">
        <v>21.775335386396602</v>
      </c>
      <c r="BQ206" s="613">
        <v>19.792766573998239</v>
      </c>
      <c r="BR206" s="656">
        <v>-1.1963232204398173</v>
      </c>
      <c r="BS206" s="612">
        <v>0.38454348258523929</v>
      </c>
      <c r="BT206" s="613">
        <v>0.65809839559941286</v>
      </c>
      <c r="BU206" s="612">
        <v>0.38454348258523929</v>
      </c>
      <c r="BV206" s="613">
        <v>0.65752101120878892</v>
      </c>
      <c r="BW206" s="612">
        <v>0.3474566499047127</v>
      </c>
      <c r="BX206" s="613">
        <v>0.86369655340815377</v>
      </c>
      <c r="BY206" s="612">
        <v>4.2605471628436396E-3</v>
      </c>
      <c r="BZ206" s="613">
        <v>1.0709046251732557E-2</v>
      </c>
      <c r="CA206" s="636">
        <v>21.775335386396602</v>
      </c>
      <c r="CB206" s="613">
        <v>20.131892771069126</v>
      </c>
      <c r="CC206" s="656">
        <v>4.6821409054394983E-4</v>
      </c>
      <c r="CD206" s="656">
        <v>11.79735120042684</v>
      </c>
      <c r="CE206" s="666">
        <v>3.0275841245043815E-3</v>
      </c>
      <c r="CF206" s="656">
        <v>6.05315698127627E-3</v>
      </c>
    </row>
    <row r="207" spans="1:84" x14ac:dyDescent="0.25">
      <c r="A207" s="54" t="s">
        <v>14</v>
      </c>
      <c r="B207" s="612">
        <v>15.75832145440395</v>
      </c>
      <c r="C207" s="613">
        <v>75.911818143367924</v>
      </c>
      <c r="D207" s="614">
        <v>16.173650274067551</v>
      </c>
      <c r="E207" s="613">
        <v>74.601204487980439</v>
      </c>
      <c r="F207" s="612">
        <v>13.473639624668102</v>
      </c>
      <c r="G207" s="613">
        <v>126.38458299699879</v>
      </c>
      <c r="H207" s="636">
        <v>15.884959412242745</v>
      </c>
      <c r="I207" s="637">
        <v>79.838519953374714</v>
      </c>
      <c r="J207" s="624">
        <v>15.154561760970747</v>
      </c>
      <c r="K207" s="637">
        <v>48.382400830947176</v>
      </c>
      <c r="L207" s="636">
        <v>15.3569127142566</v>
      </c>
      <c r="M207" s="637">
        <v>62.525821463169891</v>
      </c>
      <c r="N207" s="636">
        <v>14.598096639434649</v>
      </c>
      <c r="O207" s="637">
        <v>17.409167960607601</v>
      </c>
      <c r="P207" s="612">
        <v>15.154561760970747</v>
      </c>
      <c r="Q207" s="613">
        <v>48.382400830947176</v>
      </c>
      <c r="R207" s="662">
        <v>16.210488047915181</v>
      </c>
      <c r="S207" s="613">
        <v>70.608819923631088</v>
      </c>
      <c r="T207" s="614">
        <v>0</v>
      </c>
      <c r="U207" s="614">
        <v>0</v>
      </c>
      <c r="V207" s="612">
        <v>8.4202584209319138</v>
      </c>
      <c r="W207" s="613">
        <v>8.4229203274120206</v>
      </c>
      <c r="X207" s="612">
        <v>8.1257017331067924</v>
      </c>
      <c r="Y207" s="613">
        <v>19.908134180079724</v>
      </c>
      <c r="Z207" s="612">
        <v>8.4202584209319138</v>
      </c>
      <c r="AA207" s="613">
        <v>8.4229203274120206</v>
      </c>
      <c r="AB207" s="612">
        <v>11.020236371842341</v>
      </c>
      <c r="AC207" s="613">
        <v>8.8105978385219004</v>
      </c>
      <c r="AD207" s="612">
        <v>10.634727499968482</v>
      </c>
      <c r="AE207" s="613">
        <v>20.473464741783982</v>
      </c>
      <c r="AF207" s="612">
        <v>11.020236371842341</v>
      </c>
      <c r="AG207" s="613">
        <v>8.8105978385219004</v>
      </c>
      <c r="AH207" s="612">
        <v>12.824209105033351</v>
      </c>
      <c r="AI207" s="613">
        <v>10.499288866923944</v>
      </c>
      <c r="AJ207" s="654">
        <v>11.212423261231345</v>
      </c>
      <c r="AK207" s="655">
        <v>2.9110811891598054</v>
      </c>
      <c r="AL207" s="612">
        <v>12.824209105033351</v>
      </c>
      <c r="AM207" s="613">
        <v>10.499288866923944</v>
      </c>
      <c r="AN207" s="612">
        <v>10.708074569023573</v>
      </c>
      <c r="AO207" s="613">
        <v>11.0779361422099</v>
      </c>
      <c r="AP207" s="654">
        <v>9.3622509893102279</v>
      </c>
      <c r="AQ207" s="655">
        <v>3.4170023041639217</v>
      </c>
      <c r="AR207" s="612">
        <v>10.708074569023573</v>
      </c>
      <c r="AS207" s="613">
        <v>11.0779361422099</v>
      </c>
      <c r="AT207" s="612">
        <v>14.598096639434649</v>
      </c>
      <c r="AU207" s="613">
        <v>10.67320631614397</v>
      </c>
      <c r="AV207" s="654">
        <v>12.763363182019365</v>
      </c>
      <c r="AW207" s="655">
        <v>9.6040494138196433</v>
      </c>
      <c r="AX207" s="612">
        <v>14.598096639434649</v>
      </c>
      <c r="AY207" s="613">
        <v>10.67320631614397</v>
      </c>
      <c r="AZ207" s="612">
        <v>6.4837251813019101</v>
      </c>
      <c r="BA207" s="613">
        <v>12.336736415932542</v>
      </c>
      <c r="BB207" s="612">
        <v>6.2569121170585387</v>
      </c>
      <c r="BC207" s="613">
        <v>21.915959233186971</v>
      </c>
      <c r="BD207" s="612">
        <v>6.4837251813019101</v>
      </c>
      <c r="BE207" s="613">
        <v>12.336736415932542</v>
      </c>
      <c r="BF207" s="612">
        <v>30.020442542252592</v>
      </c>
      <c r="BG207" s="613">
        <v>47.003262741699132</v>
      </c>
      <c r="BH207" s="612">
        <v>57.213190721125329</v>
      </c>
      <c r="BI207" s="613">
        <v>-199.37258604361452</v>
      </c>
      <c r="BJ207" s="612">
        <v>29.631900514253687</v>
      </c>
      <c r="BK207" s="613">
        <v>-3.3047959226326924</v>
      </c>
      <c r="BL207" s="612">
        <v>27.177991675321014</v>
      </c>
      <c r="BM207" s="613">
        <v>-18.566644509047819</v>
      </c>
      <c r="BN207" s="612">
        <v>30.020442542252592</v>
      </c>
      <c r="BO207" s="613">
        <v>47.003262741699132</v>
      </c>
      <c r="BP207" s="612">
        <v>104.00571351103652</v>
      </c>
      <c r="BQ207" s="613">
        <v>43.027973790400473</v>
      </c>
      <c r="BR207" s="656">
        <v>-1544.0010752340372</v>
      </c>
      <c r="BS207" s="612">
        <v>15.884959412242745</v>
      </c>
      <c r="BT207" s="613">
        <v>79.838519953374714</v>
      </c>
      <c r="BU207" s="612">
        <v>15.884959412242745</v>
      </c>
      <c r="BV207" s="613">
        <v>79.663154560984324</v>
      </c>
      <c r="BW207" s="612">
        <v>16.700491912134215</v>
      </c>
      <c r="BX207" s="613">
        <v>104.75453541429897</v>
      </c>
      <c r="BY207" s="612">
        <v>0.20478305265951821</v>
      </c>
      <c r="BZ207" s="613">
        <v>1.2870798054259549</v>
      </c>
      <c r="CA207" s="636">
        <v>104.00571351103652</v>
      </c>
      <c r="CB207" s="613">
        <v>40.265025266035529</v>
      </c>
      <c r="CC207" s="656">
        <v>5.3013557133688945E-2</v>
      </c>
      <c r="CD207" s="656">
        <v>291.73773253501412</v>
      </c>
      <c r="CE207" s="666">
        <v>6.0690491816510331E-2</v>
      </c>
      <c r="CF207" s="656">
        <v>0.17783017976468887</v>
      </c>
    </row>
    <row r="208" spans="1:84" x14ac:dyDescent="0.25">
      <c r="A208" s="54" t="s">
        <v>10</v>
      </c>
      <c r="B208" s="612">
        <v>37.966765413803579</v>
      </c>
      <c r="C208" s="613">
        <v>0.76627456533112404</v>
      </c>
      <c r="D208" s="614">
        <v>38.423565668803569</v>
      </c>
      <c r="E208" s="613">
        <v>0.75369638856394894</v>
      </c>
      <c r="F208" s="612">
        <v>33.003288582679133</v>
      </c>
      <c r="G208" s="613">
        <v>1.151499838868008</v>
      </c>
      <c r="H208" s="636">
        <v>37.860981948716123</v>
      </c>
      <c r="I208" s="637">
        <v>0.79404275154887771</v>
      </c>
      <c r="J208" s="624">
        <v>24.039604310227244</v>
      </c>
      <c r="K208" s="637">
        <v>2.4362099820499767</v>
      </c>
      <c r="L208" s="636">
        <v>37.064518982448895</v>
      </c>
      <c r="M208" s="637">
        <v>0.63959081505656978</v>
      </c>
      <c r="N208" s="636">
        <v>-11.778911038382304</v>
      </c>
      <c r="O208" s="637">
        <v>7.4382631619502657</v>
      </c>
      <c r="P208" s="612">
        <v>24.039604310227244</v>
      </c>
      <c r="Q208" s="613">
        <v>2.4362099820499767</v>
      </c>
      <c r="R208" s="662">
        <v>36.934559294343742</v>
      </c>
      <c r="S208" s="613">
        <v>0.77799862654838525</v>
      </c>
      <c r="T208" s="614">
        <v>0</v>
      </c>
      <c r="U208" s="614">
        <v>0</v>
      </c>
      <c r="V208" s="612">
        <v>5.7197379608033154</v>
      </c>
      <c r="W208" s="613">
        <v>11.638902276028354</v>
      </c>
      <c r="X208" s="612">
        <v>5.5196506256244291</v>
      </c>
      <c r="Y208" s="613">
        <v>10.189995615865699</v>
      </c>
      <c r="Z208" s="612">
        <v>5.7197379608033154</v>
      </c>
      <c r="AA208" s="613">
        <v>11.638902276028354</v>
      </c>
      <c r="AB208" s="612">
        <v>7.7109289766002123</v>
      </c>
      <c r="AC208" s="613">
        <v>11.878896858932361</v>
      </c>
      <c r="AD208" s="612">
        <v>7.4411859846564168</v>
      </c>
      <c r="AE208" s="613">
        <v>10.539967611844204</v>
      </c>
      <c r="AF208" s="612">
        <v>7.7109289766002123</v>
      </c>
      <c r="AG208" s="613">
        <v>11.878896858932361</v>
      </c>
      <c r="AH208" s="612">
        <v>21.783186938994366</v>
      </c>
      <c r="AI208" s="613">
        <v>13.06601032914795</v>
      </c>
      <c r="AJ208" s="654">
        <v>19.045409345568846</v>
      </c>
      <c r="AK208" s="655">
        <v>5.0152916786088388</v>
      </c>
      <c r="AL208" s="612">
        <v>21.783186938994366</v>
      </c>
      <c r="AM208" s="613">
        <v>13.06601032914795</v>
      </c>
      <c r="AN208" s="612">
        <v>21.432667662395065</v>
      </c>
      <c r="AO208" s="613">
        <v>13.424226133524165</v>
      </c>
      <c r="AP208" s="654">
        <v>18.738944404279838</v>
      </c>
      <c r="AQ208" s="655">
        <v>5.3284858245115396</v>
      </c>
      <c r="AR208" s="612">
        <v>21.432667662395065</v>
      </c>
      <c r="AS208" s="613">
        <v>13.424226133524165</v>
      </c>
      <c r="AT208" s="612">
        <v>-11.778911038382303</v>
      </c>
      <c r="AU208" s="613">
        <v>13.173675191021919</v>
      </c>
      <c r="AV208" s="654">
        <v>-10.298501454323326</v>
      </c>
      <c r="AW208" s="655">
        <v>5.2095389265682934</v>
      </c>
      <c r="AX208" s="612">
        <v>-11.778911038382303</v>
      </c>
      <c r="AY208" s="613">
        <v>13.173675191021919</v>
      </c>
      <c r="AZ208" s="612">
        <v>6.203376719694751E-2</v>
      </c>
      <c r="BA208" s="613">
        <v>14.203495598463256</v>
      </c>
      <c r="BB208" s="612">
        <v>5.9863707789575386E-2</v>
      </c>
      <c r="BC208" s="613">
        <v>11.432954318280906</v>
      </c>
      <c r="BD208" s="612">
        <v>6.203376719694751E-2</v>
      </c>
      <c r="BE208" s="613">
        <v>14.203495598463256</v>
      </c>
      <c r="BF208" s="612">
        <v>65.030667026915424</v>
      </c>
      <c r="BG208" s="613">
        <v>-20.523974477722632</v>
      </c>
      <c r="BH208" s="612">
        <v>46.504615728052499</v>
      </c>
      <c r="BI208" s="613">
        <v>-6.7039478393726988</v>
      </c>
      <c r="BJ208" s="612">
        <v>24.085706973137412</v>
      </c>
      <c r="BK208" s="613">
        <v>-6.8631987816122439</v>
      </c>
      <c r="BL208" s="612">
        <v>26.930318552363815</v>
      </c>
      <c r="BM208" s="613">
        <v>10.107275760817696</v>
      </c>
      <c r="BN208" s="612">
        <v>65.030667026915424</v>
      </c>
      <c r="BO208" s="613">
        <v>-20.523974477722632</v>
      </c>
      <c r="BP208" s="612">
        <v>40.045550412119233</v>
      </c>
      <c r="BQ208" s="613">
        <v>5.020284067558376</v>
      </c>
      <c r="BR208" s="656">
        <v>-5.1331108088242612</v>
      </c>
      <c r="BS208" s="612">
        <v>37.860981948716123</v>
      </c>
      <c r="BT208" s="613">
        <v>0.79404275154887771</v>
      </c>
      <c r="BU208" s="612">
        <v>37.860981948716123</v>
      </c>
      <c r="BV208" s="613">
        <v>0.79347276213922302</v>
      </c>
      <c r="BW208" s="612">
        <v>32.637652000422278</v>
      </c>
      <c r="BX208" s="613">
        <v>0.98001224644271212</v>
      </c>
      <c r="BY208" s="612">
        <v>0.40020605641138746</v>
      </c>
      <c r="BZ208" s="613">
        <v>1.2056571206641655E-2</v>
      </c>
      <c r="CA208" s="636">
        <v>40.045550412119233</v>
      </c>
      <c r="CB208" s="613">
        <v>5.0210596538827801</v>
      </c>
      <c r="CC208" s="656">
        <v>4.8314235403288086E-4</v>
      </c>
      <c r="CD208" s="656">
        <v>280.65463308417884</v>
      </c>
      <c r="CE208" s="666">
        <v>8.9738088123262588E-2</v>
      </c>
      <c r="CF208" s="656">
        <v>9.1235565037333946E-2</v>
      </c>
    </row>
    <row r="209" spans="1:86" x14ac:dyDescent="0.25">
      <c r="A209" s="54" t="s">
        <v>8</v>
      </c>
      <c r="B209" s="631">
        <v>15701.965300394668</v>
      </c>
      <c r="C209" s="617">
        <v>25904.490693745563</v>
      </c>
      <c r="D209" s="631">
        <v>15857.805116613989</v>
      </c>
      <c r="E209" s="632">
        <v>25476.319629033602</v>
      </c>
      <c r="F209" s="631">
        <v>16784.936342310917</v>
      </c>
      <c r="G209" s="632">
        <v>49845.012778465374</v>
      </c>
      <c r="H209" s="631">
        <v>15943.505447453814</v>
      </c>
      <c r="I209" s="632">
        <v>27932.456641888821</v>
      </c>
      <c r="J209" s="633">
        <v>13404.073541947049</v>
      </c>
      <c r="K209" s="632">
        <v>15986.631870047642</v>
      </c>
      <c r="L209" s="631">
        <v>15470.331490441209</v>
      </c>
      <c r="M209" s="632">
        <v>20115.730864006346</v>
      </c>
      <c r="N209" s="631">
        <v>7721.8641835881162</v>
      </c>
      <c r="O209" s="632">
        <v>8091.3432677635101</v>
      </c>
      <c r="P209" s="631">
        <v>13404.073541947049</v>
      </c>
      <c r="Q209" s="632">
        <v>15986.631870047642</v>
      </c>
      <c r="R209" s="658">
        <v>16875.009157076052</v>
      </c>
      <c r="S209" s="659">
        <v>24419.698522974311</v>
      </c>
      <c r="T209" s="618">
        <v>0</v>
      </c>
      <c r="U209" s="618">
        <v>0</v>
      </c>
      <c r="V209" s="631">
        <v>5671.0730852081288</v>
      </c>
      <c r="W209" s="632">
        <v>-1017.3548642878744</v>
      </c>
      <c r="X209" s="631">
        <v>5472.6881401284709</v>
      </c>
      <c r="Y209" s="632">
        <v>2069.4411189126445</v>
      </c>
      <c r="Z209" s="631">
        <v>5671.0730852081288</v>
      </c>
      <c r="AA209" s="632">
        <v>-1017.3548642878744</v>
      </c>
      <c r="AB209" s="631">
        <v>8171.3058489662881</v>
      </c>
      <c r="AC209" s="632">
        <v>-1019.0581634483414</v>
      </c>
      <c r="AD209" s="631">
        <v>7885.4579965899047</v>
      </c>
      <c r="AE209" s="632">
        <v>2066.9572836538687</v>
      </c>
      <c r="AF209" s="631">
        <v>8171.3058489662881</v>
      </c>
      <c r="AG209" s="632">
        <v>-1019.0581634483414</v>
      </c>
      <c r="AH209" s="631">
        <v>10681.098122477159</v>
      </c>
      <c r="AI209" s="632">
        <v>408.35850447077235</v>
      </c>
      <c r="AJ209" s="660">
        <v>9886.8042986821329</v>
      </c>
      <c r="AK209" s="661">
        <v>-2149.3243752661747</v>
      </c>
      <c r="AL209" s="631">
        <v>10681.098122477159</v>
      </c>
      <c r="AM209" s="632">
        <v>408.35850447077235</v>
      </c>
      <c r="AN209" s="631">
        <v>-9960.5088101121291</v>
      </c>
      <c r="AO209" s="632">
        <v>405.93133149298751</v>
      </c>
      <c r="AP209" s="660">
        <v>-10599.937856521356</v>
      </c>
      <c r="AQ209" s="661">
        <v>-2151.446493716684</v>
      </c>
      <c r="AR209" s="631">
        <v>-9960.5088101121291</v>
      </c>
      <c r="AS209" s="632">
        <v>405.93133149298751</v>
      </c>
      <c r="AT209" s="631">
        <v>7721.8641835881144</v>
      </c>
      <c r="AU209" s="632">
        <v>407.67915457162951</v>
      </c>
      <c r="AV209" s="660">
        <v>6664.9092382551871</v>
      </c>
      <c r="AW209" s="661">
        <v>931.06813768935956</v>
      </c>
      <c r="AX209" s="631">
        <v>7721.8641835881144</v>
      </c>
      <c r="AY209" s="632">
        <v>407.67915457162951</v>
      </c>
      <c r="AZ209" s="631">
        <v>5302.4742368449879</v>
      </c>
      <c r="BA209" s="632">
        <v>400.85995733089612</v>
      </c>
      <c r="BB209" s="631">
        <v>5116.9835819975751</v>
      </c>
      <c r="BC209" s="632">
        <v>2061.5327617602397</v>
      </c>
      <c r="BD209" s="631">
        <v>5302.4742368449879</v>
      </c>
      <c r="BE209" s="632">
        <v>400.85995733089612</v>
      </c>
      <c r="BF209" s="631">
        <v>13329.541404884496</v>
      </c>
      <c r="BG209" s="632">
        <v>16891.336431071955</v>
      </c>
      <c r="BH209" s="631">
        <v>23171.564357920426</v>
      </c>
      <c r="BI209" s="632">
        <v>-125835.80833771368</v>
      </c>
      <c r="BJ209" s="631">
        <v>12001.034746695203</v>
      </c>
      <c r="BK209" s="632">
        <v>-6937.4400944543995</v>
      </c>
      <c r="BL209" s="631">
        <v>13551.037824065852</v>
      </c>
      <c r="BM209" s="632">
        <v>-18302.391230160058</v>
      </c>
      <c r="BN209" s="631">
        <v>13329.541404884496</v>
      </c>
      <c r="BO209" s="632">
        <v>16891.336431071955</v>
      </c>
      <c r="BP209" s="631">
        <v>9943.5655978646846</v>
      </c>
      <c r="BQ209" s="632">
        <v>6028.0186603581205</v>
      </c>
      <c r="BR209" s="629">
        <v>33663.687950962165</v>
      </c>
      <c r="BS209" s="631">
        <v>15943.505447453814</v>
      </c>
      <c r="BT209" s="632">
        <v>27932.456641888821</v>
      </c>
      <c r="BU209" s="631">
        <v>15943.505447453814</v>
      </c>
      <c r="BV209" s="617">
        <v>27788.567830997363</v>
      </c>
      <c r="BW209" s="631">
        <v>8291.7074370953342</v>
      </c>
      <c r="BX209" s="632">
        <v>34084.371751363804</v>
      </c>
      <c r="BY209" s="631">
        <v>101.67372132878806</v>
      </c>
      <c r="BZ209" s="632">
        <v>420.07800513972126</v>
      </c>
      <c r="CA209" s="631">
        <v>9943.5655978646846</v>
      </c>
      <c r="CB209" s="632">
        <v>3804.1235602929291</v>
      </c>
      <c r="CC209" s="629">
        <v>27.469656357302298</v>
      </c>
      <c r="CD209" s="629">
        <v>155040.08957308039</v>
      </c>
      <c r="CE209" s="666">
        <v>41.23132904973</v>
      </c>
      <c r="CF209" s="656">
        <v>114.65783985105378</v>
      </c>
    </row>
    <row r="210" spans="1:86" x14ac:dyDescent="0.25">
      <c r="A210" s="54" t="s">
        <v>2353</v>
      </c>
      <c r="B210" s="616">
        <v>15748.128242513727</v>
      </c>
      <c r="C210" s="617">
        <v>26111.633072232951</v>
      </c>
      <c r="D210" s="616">
        <v>15905.788067045836</v>
      </c>
      <c r="E210" s="617">
        <v>25682.60358837348</v>
      </c>
      <c r="F210" s="251">
        <v>16826.282225529758</v>
      </c>
      <c r="G210" s="617">
        <v>50080.31721879921</v>
      </c>
      <c r="H210" s="616">
        <v>15990.742790790284</v>
      </c>
      <c r="I210" s="617">
        <v>28141.681278189732</v>
      </c>
      <c r="J210" s="616">
        <v>13447.992452567119</v>
      </c>
      <c r="K210" s="617">
        <v>16179.445352936991</v>
      </c>
      <c r="L210" s="616">
        <v>15513.880852896278</v>
      </c>
      <c r="M210" s="617">
        <v>20315.650580267658</v>
      </c>
      <c r="N210" s="616">
        <v>7766.7993516619426</v>
      </c>
      <c r="O210" s="617">
        <v>8282.6061010843732</v>
      </c>
      <c r="P210" s="616">
        <v>13447.992452567119</v>
      </c>
      <c r="Q210" s="617">
        <v>16179.445352936991</v>
      </c>
      <c r="R210" s="616">
        <v>16923.539953672018</v>
      </c>
      <c r="S210" s="617">
        <v>24622.954422982937</v>
      </c>
      <c r="T210" s="616">
        <v>0</v>
      </c>
      <c r="U210" s="617">
        <v>0</v>
      </c>
      <c r="V210" s="616">
        <v>5704.1289747443961</v>
      </c>
      <c r="W210" s="617">
        <v>-666.32618573940829</v>
      </c>
      <c r="X210" s="616">
        <v>5504.5876716471848</v>
      </c>
      <c r="Y210" s="617">
        <v>2165.117081969106</v>
      </c>
      <c r="Z210" s="616">
        <v>5704.1289747443961</v>
      </c>
      <c r="AA210" s="617">
        <v>-666.32618573940829</v>
      </c>
      <c r="AB210" s="616">
        <v>8216.4691905302134</v>
      </c>
      <c r="AC210" s="617">
        <v>-667.3922988949862</v>
      </c>
      <c r="AD210" s="616">
        <v>7929.0414383886273</v>
      </c>
      <c r="AE210" s="617">
        <v>2163.5624229244027</v>
      </c>
      <c r="AF210" s="616">
        <v>8216.4691905302134</v>
      </c>
      <c r="AG210" s="617">
        <v>-667.3922988949862</v>
      </c>
      <c r="AH210" s="616">
        <v>10722.373189934528</v>
      </c>
      <c r="AI210" s="617">
        <v>761.94164124638291</v>
      </c>
      <c r="AJ210" s="667">
        <v>9922.8917893552425</v>
      </c>
      <c r="AK210" s="668">
        <v>-2073.9082953397083</v>
      </c>
      <c r="AL210" s="616">
        <v>10722.373189934528</v>
      </c>
      <c r="AM210" s="617">
        <v>761.94164124638291</v>
      </c>
      <c r="AN210" s="616">
        <v>-9926.8413841197143</v>
      </c>
      <c r="AO210" s="617">
        <v>760.35036123934674</v>
      </c>
      <c r="AP210" s="667">
        <v>-10570.501855653669</v>
      </c>
      <c r="AQ210" s="668">
        <v>-2075.2995784059567</v>
      </c>
      <c r="AR210" s="616">
        <v>-9926.8413841197143</v>
      </c>
      <c r="AS210" s="617">
        <v>760.35036123934674</v>
      </c>
      <c r="AT210" s="616">
        <v>7766.7993516619408</v>
      </c>
      <c r="AU210" s="617">
        <v>761.46336826102777</v>
      </c>
      <c r="AV210" s="667">
        <v>6704.1968168989697</v>
      </c>
      <c r="AW210" s="668">
        <v>1010.014911503744</v>
      </c>
      <c r="AX210" s="616">
        <v>7766.7993516619408</v>
      </c>
      <c r="AY210" s="617">
        <v>761.46336826102777</v>
      </c>
      <c r="AZ210" s="616">
        <v>5326.0908080659738</v>
      </c>
      <c r="BA210" s="617">
        <v>756.8886604865711</v>
      </c>
      <c r="BB210" s="616">
        <v>5139.7740005461737</v>
      </c>
      <c r="BC210" s="617">
        <v>2159.595563073005</v>
      </c>
      <c r="BD210" s="616">
        <v>5326.0908080659738</v>
      </c>
      <c r="BE210" s="617">
        <v>756.8886604865711</v>
      </c>
      <c r="BF210" s="616">
        <v>13442.978029520174</v>
      </c>
      <c r="BG210" s="617">
        <v>17027.718233127689</v>
      </c>
      <c r="BH210" s="616">
        <v>23371.189028738387</v>
      </c>
      <c r="BI210" s="617">
        <v>-124287.99365113908</v>
      </c>
      <c r="BJ210" s="616">
        <v>12104.424512434736</v>
      </c>
      <c r="BK210" s="617">
        <v>-6418.4006231215326</v>
      </c>
      <c r="BL210" s="616">
        <v>13642.094231892432</v>
      </c>
      <c r="BM210" s="617">
        <v>-17535.886162158658</v>
      </c>
      <c r="BN210" s="616">
        <v>13442.978029520174</v>
      </c>
      <c r="BO210" s="617">
        <v>17027.718233127689</v>
      </c>
      <c r="BP210" s="616">
        <v>13956.41714639231</v>
      </c>
      <c r="BQ210" s="617">
        <v>6236.1170726882519</v>
      </c>
      <c r="BR210" s="617">
        <v>34031.365594500901</v>
      </c>
      <c r="BS210" s="616">
        <v>15990.742790790284</v>
      </c>
      <c r="BT210" s="617">
        <v>28141.681278189732</v>
      </c>
      <c r="BU210" s="616">
        <v>15990.742790790284</v>
      </c>
      <c r="BV210" s="617">
        <v>27997.2194509193</v>
      </c>
      <c r="BW210" s="616">
        <v>8349.0604899103419</v>
      </c>
      <c r="BX210" s="617">
        <v>34283.639717768288</v>
      </c>
      <c r="BY210" s="616">
        <v>102.37699002869184</v>
      </c>
      <c r="BZ210" s="617">
        <v>421.9842519995596</v>
      </c>
      <c r="CA210" s="616">
        <v>13956.41714639231</v>
      </c>
      <c r="CB210" s="617">
        <v>4004.4070043327047</v>
      </c>
      <c r="CC210" s="669">
        <v>27.512865691156946</v>
      </c>
      <c r="CD210" s="669">
        <v>156149.61419291949</v>
      </c>
      <c r="CE210" s="670">
        <v>41.53432648553995</v>
      </c>
      <c r="CF210" s="669">
        <v>115.98577902921025</v>
      </c>
    </row>
    <row r="211" spans="1:86" x14ac:dyDescent="0.25">
      <c r="A211" s="240" t="s">
        <v>897</v>
      </c>
      <c r="B211" s="620">
        <v>26582.653179823341</v>
      </c>
      <c r="C211" s="621">
        <v>28582.998209240712</v>
      </c>
      <c r="D211" s="620">
        <v>26877.396272796424</v>
      </c>
      <c r="E211" s="621">
        <v>28111.478596193258</v>
      </c>
      <c r="F211" s="286">
        <v>26237.69446941627</v>
      </c>
      <c r="G211" s="621">
        <v>54160.937248120739</v>
      </c>
      <c r="H211" s="620">
        <v>26800.16265327462</v>
      </c>
      <c r="I211" s="621">
        <v>30737.642843973143</v>
      </c>
      <c r="J211" s="620">
        <v>20462.410369736084</v>
      </c>
      <c r="K211" s="621">
        <v>18286.32622279886</v>
      </c>
      <c r="L211" s="620">
        <v>26090.130533989672</v>
      </c>
      <c r="M211" s="621">
        <v>22353.528352380563</v>
      </c>
      <c r="N211" s="620">
        <v>4986.1799180387261</v>
      </c>
      <c r="O211" s="621">
        <v>10832.045149522903</v>
      </c>
      <c r="P211" s="620">
        <v>20462.410369736084</v>
      </c>
      <c r="Q211" s="621">
        <v>18286.32622279886</v>
      </c>
      <c r="R211" s="620">
        <v>27489.747184855732</v>
      </c>
      <c r="S211" s="621">
        <v>26939.490881754853</v>
      </c>
      <c r="T211" s="286">
        <v>0</v>
      </c>
      <c r="U211" s="621">
        <v>0</v>
      </c>
      <c r="V211" s="620">
        <v>7516.5411389874726</v>
      </c>
      <c r="W211" s="621">
        <v>2762.0971613732108</v>
      </c>
      <c r="X211" s="620">
        <v>7253.5982040892359</v>
      </c>
      <c r="Y211" s="621">
        <v>5540.2482836668178</v>
      </c>
      <c r="Z211" s="620">
        <v>7516.5411389874726</v>
      </c>
      <c r="AA211" s="621">
        <v>2762.0971613732108</v>
      </c>
      <c r="AB211" s="620">
        <v>10649.955845022974</v>
      </c>
      <c r="AC211" s="621">
        <v>2838.102359181501</v>
      </c>
      <c r="AD211" s="620">
        <v>10277.40009169889</v>
      </c>
      <c r="AE211" s="621">
        <v>5651.0828302630325</v>
      </c>
      <c r="AF211" s="620">
        <v>10649.955845022974</v>
      </c>
      <c r="AG211" s="621">
        <v>2838.102359181501</v>
      </c>
      <c r="AH211" s="620">
        <v>17051.344655609984</v>
      </c>
      <c r="AI211" s="621">
        <v>4641.8412693381069</v>
      </c>
      <c r="AJ211" s="671">
        <v>15456.418753880233</v>
      </c>
      <c r="AK211" s="672">
        <v>-617.98344764253306</v>
      </c>
      <c r="AL211" s="620">
        <v>17051.344655609984</v>
      </c>
      <c r="AM211" s="621">
        <v>4641.8412693381069</v>
      </c>
      <c r="AN211" s="620">
        <v>-3756.6224901289588</v>
      </c>
      <c r="AO211" s="621">
        <v>4755.2865927292987</v>
      </c>
      <c r="AP211" s="671">
        <v>-5175.7749538038279</v>
      </c>
      <c r="AQ211" s="672">
        <v>-518.79627965022155</v>
      </c>
      <c r="AR211" s="620">
        <v>-3756.6224901289588</v>
      </c>
      <c r="AS211" s="621">
        <v>4755.2865927292987</v>
      </c>
      <c r="AT211" s="620">
        <v>4986.1799180387243</v>
      </c>
      <c r="AU211" s="621">
        <v>4675.9382436311016</v>
      </c>
      <c r="AV211" s="671">
        <v>4273.0541426928794</v>
      </c>
      <c r="AW211" s="672">
        <v>2718.4197109887136</v>
      </c>
      <c r="AX211" s="620">
        <v>4986.1799180387243</v>
      </c>
      <c r="AY211" s="621">
        <v>4675.9382436311016</v>
      </c>
      <c r="AZ211" s="620">
        <v>5536.2410369135378</v>
      </c>
      <c r="BA211" s="621">
        <v>5002.0777040618295</v>
      </c>
      <c r="BB211" s="620">
        <v>5342.5727738610722</v>
      </c>
      <c r="BC211" s="621">
        <v>5933.8876771126634</v>
      </c>
      <c r="BD211" s="620">
        <v>5536.2410369135378</v>
      </c>
      <c r="BE211" s="621">
        <v>5002.0777040618295</v>
      </c>
      <c r="BF211" s="620">
        <v>32090.959315627213</v>
      </c>
      <c r="BG211" s="621">
        <v>12825.370430412044</v>
      </c>
      <c r="BH211" s="620">
        <v>37771.902205986255</v>
      </c>
      <c r="BI211" s="621">
        <v>-132059.47447538754</v>
      </c>
      <c r="BJ211" s="620">
        <v>19562.85315142601</v>
      </c>
      <c r="BK211" s="621">
        <v>-8390.5368089961303</v>
      </c>
      <c r="BL211" s="620">
        <v>21803.975348612319</v>
      </c>
      <c r="BM211" s="621">
        <v>-15329.885885825053</v>
      </c>
      <c r="BN211" s="620">
        <v>32090.959315627213</v>
      </c>
      <c r="BO211" s="621">
        <v>12825.370430412044</v>
      </c>
      <c r="BP211" s="620">
        <v>27988.222671529751</v>
      </c>
      <c r="BQ211" s="621">
        <v>8888.8882420856226</v>
      </c>
      <c r="BR211" s="621">
        <v>-13381.205698282436</v>
      </c>
      <c r="BS211" s="620">
        <v>26800.16265327462</v>
      </c>
      <c r="BT211" s="621">
        <v>30737.642843973143</v>
      </c>
      <c r="BU211" s="620">
        <v>26800.16265327462</v>
      </c>
      <c r="BV211" s="621">
        <v>30587.79952090064</v>
      </c>
      <c r="BW211" s="620">
        <v>17756.814145007222</v>
      </c>
      <c r="BX211" s="621">
        <v>37672.868216393261</v>
      </c>
      <c r="BY211" s="620">
        <v>217.73577839825424</v>
      </c>
      <c r="BZ211" s="621">
        <v>463.6306741406662</v>
      </c>
      <c r="CA211" s="620">
        <v>27988.222671529751</v>
      </c>
      <c r="CB211" s="621">
        <v>6575.0540427705628</v>
      </c>
      <c r="CC211" s="673">
        <v>29.224567556391854</v>
      </c>
      <c r="CD211" s="673">
        <v>241462.11345444372</v>
      </c>
      <c r="CE211" s="674">
        <v>67.841401199322647</v>
      </c>
      <c r="CF211" s="673">
        <v>146.19242764139014</v>
      </c>
    </row>
    <row r="213" spans="1:86" ht="15.75" x14ac:dyDescent="0.25">
      <c r="A213" s="625" t="s">
        <v>2376</v>
      </c>
    </row>
    <row r="214" spans="1:86" x14ac:dyDescent="0.25">
      <c r="A214" s="675"/>
      <c r="B214" s="1150" t="s">
        <v>2323</v>
      </c>
      <c r="C214" s="1152"/>
      <c r="D214" s="1152"/>
      <c r="E214" s="1152"/>
      <c r="F214" s="1152"/>
      <c r="G214" s="1152"/>
      <c r="H214" s="1151"/>
      <c r="I214" s="1150" t="s">
        <v>2429</v>
      </c>
      <c r="J214" s="1152"/>
      <c r="K214" s="1152"/>
      <c r="L214" s="1151"/>
      <c r="M214" s="1150" t="s">
        <v>239</v>
      </c>
      <c r="N214" s="1152"/>
      <c r="O214" s="1152"/>
      <c r="P214" s="1152"/>
      <c r="Q214" s="1152"/>
      <c r="R214" s="1152"/>
      <c r="S214" s="1152"/>
      <c r="T214" s="1152"/>
      <c r="U214" s="1152"/>
      <c r="V214" s="1152"/>
      <c r="W214" s="1152"/>
      <c r="X214" s="1152"/>
      <c r="Y214" s="1152"/>
      <c r="Z214" s="1152"/>
      <c r="AA214" s="1152"/>
      <c r="AB214" s="1152"/>
      <c r="AC214" s="1152"/>
      <c r="AD214" s="1152"/>
      <c r="AE214" s="1152"/>
      <c r="AF214" s="1152"/>
      <c r="AG214" s="1152"/>
      <c r="AH214" s="1152"/>
      <c r="AI214" s="1152"/>
      <c r="AJ214" s="1151"/>
      <c r="AK214" s="1150" t="s">
        <v>2217</v>
      </c>
      <c r="AL214" s="1152"/>
      <c r="AM214" s="1152"/>
      <c r="AN214" s="1152"/>
      <c r="AO214" s="1152"/>
      <c r="AP214" s="1152"/>
      <c r="AQ214" s="1152"/>
      <c r="AR214" s="1152"/>
      <c r="AS214" s="1152"/>
      <c r="AT214" s="1152"/>
      <c r="AU214" s="1152"/>
      <c r="AV214" s="1152"/>
      <c r="AW214" s="1152"/>
      <c r="AX214" s="1152"/>
      <c r="AY214" s="1152"/>
      <c r="AZ214" s="1152"/>
      <c r="BA214" s="1152"/>
      <c r="BB214" s="1152"/>
      <c r="BC214" s="1152"/>
      <c r="BD214" s="1152"/>
      <c r="BE214" s="1152"/>
      <c r="BF214" s="1151"/>
      <c r="BG214" s="1150" t="s">
        <v>1289</v>
      </c>
      <c r="BH214" s="1151"/>
      <c r="BI214" s="1150" t="s">
        <v>2261</v>
      </c>
      <c r="BJ214" s="1152"/>
      <c r="BK214" s="1152"/>
      <c r="BL214" s="1152"/>
      <c r="BM214" s="1152"/>
      <c r="BN214" s="1152"/>
      <c r="BO214" s="1152"/>
      <c r="BP214" s="1152"/>
      <c r="BQ214" s="1152"/>
      <c r="BR214" s="1152"/>
      <c r="BS214" s="1152"/>
      <c r="BT214" s="1152"/>
      <c r="BU214" s="1152"/>
      <c r="BV214" s="1151"/>
      <c r="BW214" s="1153" t="s">
        <v>2430</v>
      </c>
      <c r="BX214" s="1153"/>
      <c r="BY214" s="1150" t="s">
        <v>2431</v>
      </c>
      <c r="BZ214" s="1152"/>
      <c r="CA214" s="1152"/>
      <c r="CB214" s="1151"/>
      <c r="CC214" s="1150" t="s">
        <v>2432</v>
      </c>
      <c r="CD214" s="1152"/>
      <c r="CE214" s="1152"/>
      <c r="CF214" s="1152"/>
      <c r="CG214" s="1152"/>
      <c r="CH214" s="1151"/>
    </row>
    <row r="215" spans="1:86" ht="39" x14ac:dyDescent="0.25">
      <c r="A215" s="576"/>
      <c r="B215" s="646" t="s">
        <v>2433</v>
      </c>
      <c r="C215" s="644" t="s">
        <v>2434</v>
      </c>
      <c r="D215" s="644" t="s">
        <v>2435</v>
      </c>
      <c r="E215" s="644" t="s">
        <v>2436</v>
      </c>
      <c r="F215" s="644" t="s">
        <v>2437</v>
      </c>
      <c r="G215" s="644" t="s">
        <v>2438</v>
      </c>
      <c r="H215" s="646" t="s">
        <v>2439</v>
      </c>
      <c r="I215" s="646" t="s">
        <v>2440</v>
      </c>
      <c r="J215" s="646" t="s">
        <v>2441</v>
      </c>
      <c r="K215" s="644" t="s">
        <v>2442</v>
      </c>
      <c r="L215" s="645"/>
      <c r="M215" s="1150" t="s">
        <v>2192</v>
      </c>
      <c r="N215" s="1151"/>
      <c r="O215" s="1150" t="s">
        <v>2443</v>
      </c>
      <c r="P215" s="1151"/>
      <c r="Q215" s="1150" t="s">
        <v>2444</v>
      </c>
      <c r="R215" s="1151"/>
      <c r="S215" s="1150" t="s">
        <v>2445</v>
      </c>
      <c r="T215" s="1151"/>
      <c r="U215" s="1150" t="s">
        <v>2446</v>
      </c>
      <c r="V215" s="1151"/>
      <c r="W215" s="1150" t="s">
        <v>2447</v>
      </c>
      <c r="X215" s="1152"/>
      <c r="Y215" s="1150" t="s">
        <v>2448</v>
      </c>
      <c r="Z215" s="1151"/>
      <c r="AA215" s="1150" t="s">
        <v>2449</v>
      </c>
      <c r="AB215" s="1151"/>
      <c r="AC215" s="1150" t="s">
        <v>2450</v>
      </c>
      <c r="AD215" s="1151"/>
      <c r="AE215" s="1150" t="s">
        <v>2451</v>
      </c>
      <c r="AF215" s="1151"/>
      <c r="AG215" s="1150" t="s">
        <v>2452</v>
      </c>
      <c r="AH215" s="1151"/>
      <c r="AI215" s="1150" t="s">
        <v>2453</v>
      </c>
      <c r="AJ215" s="1151"/>
      <c r="AK215" s="1150" t="s">
        <v>2454</v>
      </c>
      <c r="AL215" s="1151"/>
      <c r="AM215" s="1150" t="s">
        <v>2455</v>
      </c>
      <c r="AN215" s="1151"/>
      <c r="AO215" s="1150" t="s">
        <v>2456</v>
      </c>
      <c r="AP215" s="1151"/>
      <c r="AQ215" s="1150" t="s">
        <v>2457</v>
      </c>
      <c r="AR215" s="1151"/>
      <c r="AS215" s="1150" t="s">
        <v>2458</v>
      </c>
      <c r="AT215" s="1151"/>
      <c r="AU215" s="1150" t="s">
        <v>2459</v>
      </c>
      <c r="AV215" s="1151"/>
      <c r="AW215" s="1150" t="s">
        <v>2460</v>
      </c>
      <c r="AX215" s="1151"/>
      <c r="AY215" s="1150" t="s">
        <v>2461</v>
      </c>
      <c r="AZ215" s="1151"/>
      <c r="BA215" s="1150" t="s">
        <v>2462</v>
      </c>
      <c r="BB215" s="1151"/>
      <c r="BC215" s="1150" t="s">
        <v>2218</v>
      </c>
      <c r="BD215" s="1151"/>
      <c r="BE215" s="1150" t="s">
        <v>2463</v>
      </c>
      <c r="BF215" s="1151"/>
      <c r="BG215" s="1150" t="s">
        <v>2464</v>
      </c>
      <c r="BH215" s="1151"/>
      <c r="BI215" s="1150" t="s">
        <v>2465</v>
      </c>
      <c r="BJ215" s="1151"/>
      <c r="BK215" s="1150" t="s">
        <v>2466</v>
      </c>
      <c r="BL215" s="1151"/>
      <c r="BM215" s="1150" t="s">
        <v>2467</v>
      </c>
      <c r="BN215" s="1151"/>
      <c r="BO215" s="1150" t="s">
        <v>2468</v>
      </c>
      <c r="BP215" s="1151"/>
      <c r="BQ215" s="1150" t="s">
        <v>2469</v>
      </c>
      <c r="BR215" s="1151"/>
      <c r="BS215" s="1150" t="s">
        <v>2470</v>
      </c>
      <c r="BT215" s="1151"/>
      <c r="BU215" s="1150" t="s">
        <v>2471</v>
      </c>
      <c r="BV215" s="1151"/>
      <c r="BW215" s="1150" t="s">
        <v>2472</v>
      </c>
      <c r="BX215" s="1151"/>
      <c r="BY215" s="1150" t="s">
        <v>2473</v>
      </c>
      <c r="BZ215" s="1151"/>
      <c r="CA215" s="1150" t="s">
        <v>2474</v>
      </c>
      <c r="CB215" s="1151"/>
      <c r="CC215" s="1150" t="s">
        <v>2475</v>
      </c>
      <c r="CD215" s="1152"/>
      <c r="CE215" s="1150" t="s">
        <v>2476</v>
      </c>
      <c r="CF215" s="1151"/>
      <c r="CG215" s="1152" t="s">
        <v>2477</v>
      </c>
      <c r="CH215" s="1151"/>
    </row>
    <row r="216" spans="1:86" ht="26.25" x14ac:dyDescent="0.25">
      <c r="A216" s="576"/>
      <c r="B216" s="676"/>
      <c r="C216" s="606"/>
      <c r="D216" s="606"/>
      <c r="E216" s="606"/>
      <c r="F216" s="606"/>
      <c r="G216" s="606"/>
      <c r="H216" s="676"/>
      <c r="I216" s="676"/>
      <c r="J216" s="676"/>
      <c r="K216" s="610" t="s">
        <v>2375</v>
      </c>
      <c r="L216" s="611" t="s">
        <v>225</v>
      </c>
      <c r="M216" s="608" t="s">
        <v>2375</v>
      </c>
      <c r="N216" s="607" t="s">
        <v>225</v>
      </c>
      <c r="O216" s="606" t="s">
        <v>2375</v>
      </c>
      <c r="P216" s="607" t="s">
        <v>225</v>
      </c>
      <c r="Q216" s="606" t="s">
        <v>2375</v>
      </c>
      <c r="R216" s="607" t="s">
        <v>225</v>
      </c>
      <c r="S216" s="606" t="s">
        <v>2375</v>
      </c>
      <c r="T216" s="607" t="s">
        <v>225</v>
      </c>
      <c r="U216" s="606" t="s">
        <v>2375</v>
      </c>
      <c r="V216" s="607" t="s">
        <v>225</v>
      </c>
      <c r="W216" s="606" t="s">
        <v>2375</v>
      </c>
      <c r="X216" s="608" t="s">
        <v>225</v>
      </c>
      <c r="Y216" s="606" t="s">
        <v>2375</v>
      </c>
      <c r="Z216" s="607" t="s">
        <v>225</v>
      </c>
      <c r="AA216" s="606" t="s">
        <v>2375</v>
      </c>
      <c r="AB216" s="607" t="s">
        <v>225</v>
      </c>
      <c r="AC216" s="606" t="s">
        <v>2375</v>
      </c>
      <c r="AD216" s="607" t="s">
        <v>225</v>
      </c>
      <c r="AE216" s="606" t="s">
        <v>2375</v>
      </c>
      <c r="AF216" s="607" t="s">
        <v>225</v>
      </c>
      <c r="AG216" s="606" t="s">
        <v>2375</v>
      </c>
      <c r="AH216" s="607" t="s">
        <v>225</v>
      </c>
      <c r="AI216" s="606" t="s">
        <v>2375</v>
      </c>
      <c r="AJ216" s="607" t="s">
        <v>225</v>
      </c>
      <c r="AK216" s="608" t="s">
        <v>2375</v>
      </c>
      <c r="AL216" s="608" t="s">
        <v>225</v>
      </c>
      <c r="AM216" s="606" t="s">
        <v>2375</v>
      </c>
      <c r="AN216" s="607" t="s">
        <v>225</v>
      </c>
      <c r="AO216" s="606" t="s">
        <v>2375</v>
      </c>
      <c r="AP216" s="607" t="s">
        <v>225</v>
      </c>
      <c r="AQ216" s="606" t="s">
        <v>2375</v>
      </c>
      <c r="AR216" s="607" t="s">
        <v>225</v>
      </c>
      <c r="AS216" s="606" t="s">
        <v>2375</v>
      </c>
      <c r="AT216" s="607" t="s">
        <v>225</v>
      </c>
      <c r="AU216" s="606" t="s">
        <v>2375</v>
      </c>
      <c r="AV216" s="607" t="s">
        <v>225</v>
      </c>
      <c r="AW216" s="608" t="s">
        <v>2375</v>
      </c>
      <c r="AX216" s="608" t="s">
        <v>225</v>
      </c>
      <c r="AY216" s="606" t="s">
        <v>2375</v>
      </c>
      <c r="AZ216" s="607" t="s">
        <v>225</v>
      </c>
      <c r="BA216" s="606" t="s">
        <v>2375</v>
      </c>
      <c r="BB216" s="607" t="s">
        <v>225</v>
      </c>
      <c r="BC216" s="606" t="s">
        <v>2375</v>
      </c>
      <c r="BD216" s="607" t="s">
        <v>225</v>
      </c>
      <c r="BE216" s="606" t="s">
        <v>2375</v>
      </c>
      <c r="BF216" s="607" t="s">
        <v>225</v>
      </c>
      <c r="BG216" s="606" t="s">
        <v>2375</v>
      </c>
      <c r="BH216" s="607" t="s">
        <v>225</v>
      </c>
      <c r="BI216" s="606" t="s">
        <v>2375</v>
      </c>
      <c r="BJ216" s="607" t="s">
        <v>225</v>
      </c>
      <c r="BK216" s="606" t="s">
        <v>2375</v>
      </c>
      <c r="BL216" s="607" t="s">
        <v>225</v>
      </c>
      <c r="BM216" s="606" t="s">
        <v>2375</v>
      </c>
      <c r="BN216" s="607" t="s">
        <v>225</v>
      </c>
      <c r="BO216" s="606" t="s">
        <v>2375</v>
      </c>
      <c r="BP216" s="607" t="s">
        <v>225</v>
      </c>
      <c r="BQ216" s="606" t="s">
        <v>2375</v>
      </c>
      <c r="BR216" s="607" t="s">
        <v>225</v>
      </c>
      <c r="BS216" s="606" t="s">
        <v>2375</v>
      </c>
      <c r="BT216" s="607" t="s">
        <v>225</v>
      </c>
      <c r="BU216" s="606" t="s">
        <v>2375</v>
      </c>
      <c r="BV216" s="607" t="s">
        <v>225</v>
      </c>
      <c r="BW216" s="606" t="s">
        <v>2375</v>
      </c>
      <c r="BX216" s="607" t="s">
        <v>225</v>
      </c>
      <c r="BY216" s="606" t="s">
        <v>2375</v>
      </c>
      <c r="BZ216" s="607" t="s">
        <v>225</v>
      </c>
      <c r="CA216" s="606" t="s">
        <v>2375</v>
      </c>
      <c r="CB216" s="607" t="s">
        <v>225</v>
      </c>
      <c r="CC216" s="606" t="s">
        <v>2375</v>
      </c>
      <c r="CD216" s="608" t="s">
        <v>225</v>
      </c>
      <c r="CE216" s="606" t="s">
        <v>2375</v>
      </c>
      <c r="CF216" s="607" t="s">
        <v>225</v>
      </c>
      <c r="CG216" s="608" t="s">
        <v>2375</v>
      </c>
      <c r="CH216" s="607" t="s">
        <v>225</v>
      </c>
    </row>
    <row r="217" spans="1:86" x14ac:dyDescent="0.25">
      <c r="A217" s="54" t="s">
        <v>2347</v>
      </c>
      <c r="B217" s="656"/>
      <c r="C217" s="612"/>
      <c r="D217" s="612"/>
      <c r="E217" s="612"/>
      <c r="F217" s="612"/>
      <c r="G217" s="612"/>
      <c r="H217" s="239"/>
      <c r="I217" s="656"/>
      <c r="J217" s="656"/>
      <c r="K217" s="331"/>
      <c r="L217" s="235">
        <v>1</v>
      </c>
      <c r="M217" s="614"/>
      <c r="N217" s="613">
        <v>1.0000389867970996</v>
      </c>
      <c r="O217" s="612"/>
      <c r="P217" s="613">
        <v>1.0000389867970996</v>
      </c>
      <c r="Q217" s="612"/>
      <c r="R217" s="613">
        <v>1.0000389867970996</v>
      </c>
      <c r="S217" s="612"/>
      <c r="T217" s="613">
        <v>1.0000389867970996</v>
      </c>
      <c r="U217" s="612"/>
      <c r="V217" s="613">
        <v>1.0000389867970996</v>
      </c>
      <c r="W217" s="612"/>
      <c r="X217" s="614">
        <v>1.0000389867970996</v>
      </c>
      <c r="Y217" s="612"/>
      <c r="Z217" s="614">
        <v>1.0000389867970996</v>
      </c>
      <c r="AA217" s="612"/>
      <c r="AB217" s="613">
        <v>1.0000389867970996</v>
      </c>
      <c r="AC217" s="612"/>
      <c r="AD217" s="613">
        <v>1.0000389867970996</v>
      </c>
      <c r="AE217" s="612"/>
      <c r="AF217" s="613">
        <v>1.0000389867970996</v>
      </c>
      <c r="AG217" s="612"/>
      <c r="AH217" s="613">
        <v>1.0000389867970996</v>
      </c>
      <c r="AI217" s="331"/>
      <c r="AJ217" s="622">
        <v>1.0000389867970996</v>
      </c>
      <c r="AK217" s="614"/>
      <c r="AL217" s="614">
        <v>1.0000448829393298</v>
      </c>
      <c r="AM217" s="612"/>
      <c r="AN217" s="613">
        <v>1.0000448829393298</v>
      </c>
      <c r="AO217" s="612"/>
      <c r="AP217" s="613">
        <v>1.0000448829393298</v>
      </c>
      <c r="AQ217" s="612"/>
      <c r="AR217" s="613">
        <v>1.0000448829393298</v>
      </c>
      <c r="AS217" s="612"/>
      <c r="AT217" s="613">
        <v>1.0000448829393298</v>
      </c>
      <c r="AU217" s="614"/>
      <c r="AV217" s="613">
        <v>1.0000448829393298</v>
      </c>
      <c r="AW217" s="614"/>
      <c r="AX217" s="613">
        <v>1.0000448829393298</v>
      </c>
      <c r="AY217" s="612"/>
      <c r="AZ217" s="613">
        <v>1.0000453114548846</v>
      </c>
      <c r="BA217" s="612"/>
      <c r="BB217" s="613">
        <v>1.0000448829393298</v>
      </c>
      <c r="BC217" s="612"/>
      <c r="BD217" s="613">
        <v>1.0000448829393298</v>
      </c>
      <c r="BE217" s="612"/>
      <c r="BF217" s="613">
        <v>1.0000448829393298</v>
      </c>
      <c r="BG217" s="612"/>
      <c r="BH217" s="637">
        <v>1.0000448829393298</v>
      </c>
      <c r="BI217" s="612"/>
      <c r="BJ217" s="637">
        <v>1.0000445489473497</v>
      </c>
      <c r="BK217" s="612"/>
      <c r="BL217" s="613">
        <v>1.0000445489473497</v>
      </c>
      <c r="BM217" s="612"/>
      <c r="BN217" s="613">
        <v>1.0000445489473497</v>
      </c>
      <c r="BO217" s="612"/>
      <c r="BP217" s="613">
        <v>1.0000445489473497</v>
      </c>
      <c r="BQ217" s="612"/>
      <c r="BR217" s="613">
        <v>1.0000445489473497</v>
      </c>
      <c r="BS217" s="614"/>
      <c r="BT217" s="614">
        <v>1.0000445489473497</v>
      </c>
      <c r="BU217" s="612"/>
      <c r="BV217" s="613">
        <v>1.0000445489473497</v>
      </c>
      <c r="BW217" s="612"/>
      <c r="BX217" s="613">
        <v>1</v>
      </c>
      <c r="BY217" s="612"/>
      <c r="BZ217" s="613">
        <v>1.0000448829393298</v>
      </c>
      <c r="CA217" s="612"/>
      <c r="CB217" s="613">
        <v>1.0000448829393298</v>
      </c>
      <c r="CC217" s="612"/>
      <c r="CD217" s="614"/>
      <c r="CE217" s="612"/>
      <c r="CF217" s="613"/>
      <c r="CG217" s="614"/>
      <c r="CH217" s="613"/>
    </row>
    <row r="218" spans="1:86" ht="30" x14ac:dyDescent="0.25">
      <c r="A218" s="675" t="s">
        <v>94</v>
      </c>
      <c r="B218" s="677" t="s">
        <v>2478</v>
      </c>
      <c r="C218" s="678" t="s">
        <v>2479</v>
      </c>
      <c r="D218" s="678" t="s">
        <v>2480</v>
      </c>
      <c r="E218" s="678" t="s">
        <v>2481</v>
      </c>
      <c r="F218" s="678" t="s">
        <v>2481</v>
      </c>
      <c r="G218" s="678" t="s">
        <v>2481</v>
      </c>
      <c r="H218" s="677" t="s">
        <v>2478</v>
      </c>
      <c r="I218" s="677" t="s">
        <v>2482</v>
      </c>
      <c r="J218" s="677" t="s">
        <v>2483</v>
      </c>
      <c r="K218" s="679" t="s">
        <v>2482</v>
      </c>
      <c r="L218" s="680" t="s">
        <v>2482</v>
      </c>
      <c r="M218" s="681" t="s">
        <v>2484</v>
      </c>
      <c r="N218" s="682" t="s">
        <v>2484</v>
      </c>
      <c r="O218" s="678" t="s">
        <v>2484</v>
      </c>
      <c r="P218" s="682" t="s">
        <v>2484</v>
      </c>
      <c r="Q218" s="678" t="s">
        <v>2484</v>
      </c>
      <c r="R218" s="682" t="s">
        <v>2484</v>
      </c>
      <c r="S218" s="678" t="s">
        <v>2484</v>
      </c>
      <c r="T218" s="682" t="s">
        <v>2484</v>
      </c>
      <c r="U218" s="678" t="s">
        <v>2484</v>
      </c>
      <c r="V218" s="682" t="s">
        <v>2484</v>
      </c>
      <c r="W218" s="678" t="s">
        <v>2484</v>
      </c>
      <c r="X218" s="681" t="s">
        <v>2484</v>
      </c>
      <c r="Y218" s="678" t="s">
        <v>2484</v>
      </c>
      <c r="Z218" s="682" t="s">
        <v>2484</v>
      </c>
      <c r="AA218" s="678" t="s">
        <v>2484</v>
      </c>
      <c r="AB218" s="682" t="s">
        <v>2484</v>
      </c>
      <c r="AC218" s="678" t="s">
        <v>2484</v>
      </c>
      <c r="AD218" s="682" t="s">
        <v>2484</v>
      </c>
      <c r="AE218" s="678" t="s">
        <v>2484</v>
      </c>
      <c r="AF218" s="681" t="s">
        <v>2484</v>
      </c>
      <c r="AG218" s="678" t="s">
        <v>2484</v>
      </c>
      <c r="AH218" s="681" t="s">
        <v>2484</v>
      </c>
      <c r="AI218" s="678" t="s">
        <v>2484</v>
      </c>
      <c r="AJ218" s="682" t="s">
        <v>2484</v>
      </c>
      <c r="AK218" s="681" t="s">
        <v>2484</v>
      </c>
      <c r="AL218" s="681" t="s">
        <v>2484</v>
      </c>
      <c r="AM218" s="678" t="s">
        <v>2484</v>
      </c>
      <c r="AN218" s="682" t="s">
        <v>2484</v>
      </c>
      <c r="AO218" s="678" t="s">
        <v>2484</v>
      </c>
      <c r="AP218" s="682" t="s">
        <v>2484</v>
      </c>
      <c r="AQ218" s="678" t="s">
        <v>2484</v>
      </c>
      <c r="AR218" s="682" t="s">
        <v>2484</v>
      </c>
      <c r="AS218" s="678" t="s">
        <v>2484</v>
      </c>
      <c r="AT218" s="682" t="s">
        <v>2484</v>
      </c>
      <c r="AU218" s="678" t="s">
        <v>2484</v>
      </c>
      <c r="AV218" s="682" t="s">
        <v>2484</v>
      </c>
      <c r="AW218" s="678" t="s">
        <v>2484</v>
      </c>
      <c r="AX218" s="682" t="s">
        <v>2484</v>
      </c>
      <c r="AY218" s="678" t="s">
        <v>2485</v>
      </c>
      <c r="AZ218" s="682" t="s">
        <v>2485</v>
      </c>
      <c r="BA218" s="678" t="s">
        <v>2484</v>
      </c>
      <c r="BB218" s="681" t="s">
        <v>2484</v>
      </c>
      <c r="BC218" s="678" t="s">
        <v>2484</v>
      </c>
      <c r="BD218" s="681" t="s">
        <v>2484</v>
      </c>
      <c r="BE218" s="678" t="s">
        <v>2484</v>
      </c>
      <c r="BF218" s="682" t="s">
        <v>2484</v>
      </c>
      <c r="BG218" s="678" t="s">
        <v>2484</v>
      </c>
      <c r="BH218" s="682" t="s">
        <v>2484</v>
      </c>
      <c r="BI218" s="678" t="s">
        <v>2484</v>
      </c>
      <c r="BJ218" s="682" t="s">
        <v>2484</v>
      </c>
      <c r="BK218" s="678" t="s">
        <v>2484</v>
      </c>
      <c r="BL218" s="682" t="s">
        <v>2484</v>
      </c>
      <c r="BM218" s="678" t="s">
        <v>2484</v>
      </c>
      <c r="BN218" s="682" t="s">
        <v>2484</v>
      </c>
      <c r="BO218" s="678" t="s">
        <v>2484</v>
      </c>
      <c r="BP218" s="682" t="s">
        <v>2484</v>
      </c>
      <c r="BQ218" s="678" t="s">
        <v>2484</v>
      </c>
      <c r="BR218" s="682" t="s">
        <v>2484</v>
      </c>
      <c r="BS218" s="678" t="s">
        <v>2484</v>
      </c>
      <c r="BT218" s="682" t="s">
        <v>2484</v>
      </c>
      <c r="BU218" s="678" t="s">
        <v>2484</v>
      </c>
      <c r="BV218" s="682" t="s">
        <v>2484</v>
      </c>
      <c r="BW218" s="678" t="s">
        <v>2426</v>
      </c>
      <c r="BX218" s="682" t="s">
        <v>2426</v>
      </c>
      <c r="BY218" s="678" t="s">
        <v>2484</v>
      </c>
      <c r="BZ218" s="682" t="s">
        <v>2484</v>
      </c>
      <c r="CA218" s="678" t="s">
        <v>2484</v>
      </c>
      <c r="CB218" s="682" t="s">
        <v>2484</v>
      </c>
      <c r="CC218" s="678" t="s">
        <v>2484</v>
      </c>
      <c r="CD218" s="681" t="s">
        <v>2484</v>
      </c>
      <c r="CE218" s="678" t="s">
        <v>2484</v>
      </c>
      <c r="CF218" s="682" t="s">
        <v>2484</v>
      </c>
      <c r="CG218" s="681" t="s">
        <v>2484</v>
      </c>
      <c r="CH218" s="682" t="s">
        <v>2484</v>
      </c>
    </row>
    <row r="219" spans="1:86" x14ac:dyDescent="0.25">
      <c r="A219" s="54" t="s">
        <v>2348</v>
      </c>
      <c r="B219" s="683">
        <v>41151.462164148776</v>
      </c>
      <c r="C219" s="630">
        <v>1050955.7595540979</v>
      </c>
      <c r="D219" s="630">
        <v>4427612.9021084122</v>
      </c>
      <c r="E219" s="630">
        <v>4432.8332955996202</v>
      </c>
      <c r="F219" s="630">
        <v>4209.0357067902696</v>
      </c>
      <c r="G219" s="631">
        <v>4911.3873548660304</v>
      </c>
      <c r="H219" s="669">
        <v>38460.333154221422</v>
      </c>
      <c r="I219" s="629">
        <v>17578.297016043631</v>
      </c>
      <c r="J219" s="629">
        <v>7326.9759988590749</v>
      </c>
      <c r="K219" s="616">
        <v>18385.00028028871</v>
      </c>
      <c r="L219" s="617">
        <v>1095.4316683015227</v>
      </c>
      <c r="M219" s="633">
        <v>47732.40075304627</v>
      </c>
      <c r="N219" s="632">
        <v>445167.44100659236</v>
      </c>
      <c r="O219" s="631">
        <v>96499.659610529619</v>
      </c>
      <c r="P219" s="632">
        <v>313157.90432224661</v>
      </c>
      <c r="Q219" s="631">
        <v>123458.11885234393</v>
      </c>
      <c r="R219" s="632">
        <v>360571.72078534012</v>
      </c>
      <c r="S219" s="631">
        <v>254479.48687014787</v>
      </c>
      <c r="T219" s="632">
        <v>297805.46431344323</v>
      </c>
      <c r="U219" s="631">
        <v>117066.07811098681</v>
      </c>
      <c r="V219" s="632">
        <v>816495.46232975298</v>
      </c>
      <c r="W219" s="631">
        <v>0</v>
      </c>
      <c r="X219" s="633">
        <v>332012.67221267888</v>
      </c>
      <c r="Y219" s="631">
        <v>1013080.4123179438</v>
      </c>
      <c r="Z219" s="632">
        <v>207901.70061102737</v>
      </c>
      <c r="AA219" s="631">
        <v>47732.40075304627</v>
      </c>
      <c r="AB219" s="632">
        <v>445167.44100659236</v>
      </c>
      <c r="AC219" s="631">
        <v>0</v>
      </c>
      <c r="AD219" s="632">
        <v>214130.86893239937</v>
      </c>
      <c r="AE219" s="631">
        <v>136778.36311599391</v>
      </c>
      <c r="AF219" s="632">
        <v>721151.93865515362</v>
      </c>
      <c r="AG219" s="631">
        <v>0</v>
      </c>
      <c r="AH219" s="632">
        <v>307848.65232934133</v>
      </c>
      <c r="AI219" s="631">
        <v>44610.906603759147</v>
      </c>
      <c r="AJ219" s="632">
        <v>443823.31626199116</v>
      </c>
      <c r="AK219" s="633">
        <v>48258.847278045279</v>
      </c>
      <c r="AL219" s="633">
        <v>472327.8254542519</v>
      </c>
      <c r="AM219" s="631">
        <v>97563.966237979257</v>
      </c>
      <c r="AN219" s="632">
        <v>338861.55243521457</v>
      </c>
      <c r="AO219" s="631">
        <v>124819.75364605548</v>
      </c>
      <c r="AP219" s="632">
        <v>386798.58434882009</v>
      </c>
      <c r="AQ219" s="631">
        <v>257286.17246384849</v>
      </c>
      <c r="AR219" s="632">
        <v>323339.69696031121</v>
      </c>
      <c r="AS219" s="631">
        <v>118357.21430033633</v>
      </c>
      <c r="AT219" s="632">
        <v>847753.48270839895</v>
      </c>
      <c r="AU219" s="633">
        <v>1001785.6813495079</v>
      </c>
      <c r="AV219" s="632">
        <v>143493.21625176983</v>
      </c>
      <c r="AW219" s="633">
        <v>48258.847278045279</v>
      </c>
      <c r="AX219" s="632">
        <v>472327.8254542519</v>
      </c>
      <c r="AY219" s="631">
        <v>0</v>
      </c>
      <c r="AZ219" s="632">
        <v>215441.61647504297</v>
      </c>
      <c r="BA219" s="631">
        <v>138286.90852375599</v>
      </c>
      <c r="BB219" s="632">
        <v>751357.83523499814</v>
      </c>
      <c r="BC219" s="631">
        <v>0</v>
      </c>
      <c r="BD219" s="632">
        <v>245427.05902104388</v>
      </c>
      <c r="BE219" s="631">
        <v>0</v>
      </c>
      <c r="BF219" s="632">
        <v>221532.30046882443</v>
      </c>
      <c r="BG219" s="631">
        <v>48258.847278045279</v>
      </c>
      <c r="BH219" s="632">
        <v>472327.8254542519</v>
      </c>
      <c r="BI219" s="631">
        <v>50320.433333833906</v>
      </c>
      <c r="BJ219" s="632">
        <v>379482.57225834182</v>
      </c>
      <c r="BK219" s="631">
        <v>101731.83438420319</v>
      </c>
      <c r="BL219" s="632">
        <v>240314.75475830137</v>
      </c>
      <c r="BM219" s="631">
        <v>130151.97101380737</v>
      </c>
      <c r="BN219" s="632">
        <v>290299.60829425557</v>
      </c>
      <c r="BO219" s="631">
        <v>268277.26768091141</v>
      </c>
      <c r="BP219" s="632">
        <v>224129.82128312124</v>
      </c>
      <c r="BQ219" s="631">
        <v>123413.35625908893</v>
      </c>
      <c r="BR219" s="632">
        <v>770946.03468772606</v>
      </c>
      <c r="BS219" s="633">
        <v>980664.51180871355</v>
      </c>
      <c r="BT219" s="633">
        <v>36600.480430838885</v>
      </c>
      <c r="BU219" s="631">
        <v>50320.433333833906</v>
      </c>
      <c r="BV219" s="632">
        <v>379482.57225834182</v>
      </c>
      <c r="BW219" s="631">
        <v>157.29864208491483</v>
      </c>
      <c r="BX219" s="632">
        <v>1542.1539784010286</v>
      </c>
      <c r="BY219" s="630">
        <v>541.28576837405762</v>
      </c>
      <c r="BZ219" s="632">
        <v>420169.59282717068</v>
      </c>
      <c r="CA219" s="631">
        <v>1199.1853366483017</v>
      </c>
      <c r="CB219" s="632">
        <v>191058.15889515338</v>
      </c>
      <c r="CC219" s="616">
        <v>119736.50308623038</v>
      </c>
      <c r="CD219" s="251">
        <v>192074.64929860915</v>
      </c>
      <c r="CE219" s="616">
        <v>1136039.2672297035</v>
      </c>
      <c r="CF219" s="617">
        <v>234447.43416072114</v>
      </c>
      <c r="CG219" s="251">
        <v>752555.57720091357</v>
      </c>
      <c r="CH219" s="617">
        <v>133986.1795525566</v>
      </c>
    </row>
    <row r="220" spans="1:86" x14ac:dyDescent="0.25">
      <c r="A220" s="54" t="s">
        <v>2486</v>
      </c>
      <c r="B220" s="683">
        <v>38738.616232762019</v>
      </c>
      <c r="C220" s="630">
        <v>1021686.2042835404</v>
      </c>
      <c r="D220" s="630">
        <v>4332075.977695806</v>
      </c>
      <c r="E220" s="630">
        <v>4350.0343244812884</v>
      </c>
      <c r="F220" s="630">
        <v>4143.1629626622771</v>
      </c>
      <c r="G220" s="631">
        <v>4718.1624610713689</v>
      </c>
      <c r="H220" s="669">
        <v>32234.771210844054</v>
      </c>
      <c r="I220" s="629">
        <v>1497.1765202617553</v>
      </c>
      <c r="J220" s="629">
        <v>1497.1765202617551</v>
      </c>
      <c r="K220" s="616">
        <v>1556.0001498996403</v>
      </c>
      <c r="L220" s="617">
        <v>1069.2141548883333</v>
      </c>
      <c r="M220" s="633">
        <v>44933.692690307078</v>
      </c>
      <c r="N220" s="632">
        <v>181830.94350558586</v>
      </c>
      <c r="O220" s="631">
        <v>93812.103930965357</v>
      </c>
      <c r="P220" s="632">
        <v>174554.16587578115</v>
      </c>
      <c r="Q220" s="631">
        <v>120794.19830877015</v>
      </c>
      <c r="R220" s="632">
        <v>179139.76603041112</v>
      </c>
      <c r="S220" s="631">
        <v>249726.17487339722</v>
      </c>
      <c r="T220" s="632">
        <v>180092.51895763574</v>
      </c>
      <c r="U220" s="631">
        <v>115233.95684933249</v>
      </c>
      <c r="V220" s="632">
        <v>159494.54612012437</v>
      </c>
      <c r="W220" s="631">
        <v>0</v>
      </c>
      <c r="X220" s="633">
        <v>294715.46101759153</v>
      </c>
      <c r="Y220" s="631">
        <v>22251.669139776732</v>
      </c>
      <c r="Z220" s="632">
        <v>188215.7255422438</v>
      </c>
      <c r="AA220" s="631">
        <v>44933.692690307078</v>
      </c>
      <c r="AB220" s="632">
        <v>181830.94350558586</v>
      </c>
      <c r="AC220" s="631">
        <v>0</v>
      </c>
      <c r="AD220" s="632">
        <v>207696.98869363044</v>
      </c>
      <c r="AE220" s="631">
        <v>131397.19832956945</v>
      </c>
      <c r="AF220" s="632">
        <v>173837.71499694773</v>
      </c>
      <c r="AG220" s="631">
        <v>0</v>
      </c>
      <c r="AH220" s="632">
        <v>285121.55515773594</v>
      </c>
      <c r="AI220" s="631">
        <v>37389.753284616825</v>
      </c>
      <c r="AJ220" s="632">
        <v>172143.05268664609</v>
      </c>
      <c r="AK220" s="633">
        <v>45429.271919488754</v>
      </c>
      <c r="AL220" s="633">
        <v>216018.67227307381</v>
      </c>
      <c r="AM220" s="631">
        <v>94846.769175917463</v>
      </c>
      <c r="AN220" s="632">
        <v>208661.59479040201</v>
      </c>
      <c r="AO220" s="631">
        <v>122126.45239480906</v>
      </c>
      <c r="AP220" s="632">
        <v>213297.79742822674</v>
      </c>
      <c r="AQ220" s="631">
        <v>252480.43560383</v>
      </c>
      <c r="AR220" s="632">
        <v>214261.0640640964</v>
      </c>
      <c r="AS220" s="631">
        <v>116504.88634770569</v>
      </c>
      <c r="AT220" s="632">
        <v>193435.79086475488</v>
      </c>
      <c r="AU220" s="684">
        <v>22003.5875329501</v>
      </c>
      <c r="AV220" s="632">
        <v>164089.63238832657</v>
      </c>
      <c r="AW220" s="684">
        <v>45429.271919488754</v>
      </c>
      <c r="AX220" s="632">
        <v>216018.67227307381</v>
      </c>
      <c r="AY220" s="630">
        <v>0</v>
      </c>
      <c r="AZ220" s="685">
        <v>213338.09076392831</v>
      </c>
      <c r="BA220" s="631">
        <v>132846.39420834143</v>
      </c>
      <c r="BB220" s="632">
        <v>207937.23781589227</v>
      </c>
      <c r="BC220" s="631">
        <v>0</v>
      </c>
      <c r="BD220" s="632">
        <v>269402.63400580338</v>
      </c>
      <c r="BE220" s="631">
        <v>0</v>
      </c>
      <c r="BF220" s="632">
        <v>259915.63369704896</v>
      </c>
      <c r="BG220" s="631">
        <v>45429.271919488754</v>
      </c>
      <c r="BH220" s="632">
        <v>216018.67227307381</v>
      </c>
      <c r="BI220" s="631">
        <v>47369.9803863579</v>
      </c>
      <c r="BJ220" s="632">
        <v>70647.269558814136</v>
      </c>
      <c r="BK220" s="631">
        <v>98898.560459764165</v>
      </c>
      <c r="BL220" s="632">
        <v>62975.905151297542</v>
      </c>
      <c r="BM220" s="631">
        <v>127343.61371342622</v>
      </c>
      <c r="BN220" s="632">
        <v>67810.161686669366</v>
      </c>
      <c r="BO220" s="631">
        <v>263266.23291890783</v>
      </c>
      <c r="BP220" s="632">
        <v>68814.578101035469</v>
      </c>
      <c r="BQ220" s="631">
        <v>121481.89808074263</v>
      </c>
      <c r="BR220" s="632">
        <v>47099.670248764385</v>
      </c>
      <c r="BS220" s="633">
        <v>21539.674431134659</v>
      </c>
      <c r="BT220" s="633">
        <v>16499.873500170859</v>
      </c>
      <c r="BU220" s="631">
        <v>47369.9803863579</v>
      </c>
      <c r="BV220" s="632">
        <v>70647.269558814136</v>
      </c>
      <c r="BW220" s="630">
        <v>148.07570397755637</v>
      </c>
      <c r="BX220" s="685">
        <v>675.0273866726277</v>
      </c>
      <c r="BY220" s="630">
        <v>538.57050260908011</v>
      </c>
      <c r="BZ220" s="685">
        <v>208505.02954083518</v>
      </c>
      <c r="CA220" s="631">
        <v>1154.8423433975947</v>
      </c>
      <c r="CB220" s="685">
        <v>186922.59723066128</v>
      </c>
      <c r="CC220" s="616">
        <v>111017.23653545295</v>
      </c>
      <c r="CD220" s="251">
        <v>137166.59148189315</v>
      </c>
      <c r="CE220" s="616">
        <v>102633.83369876494</v>
      </c>
      <c r="CF220" s="617">
        <v>170931.78041066768</v>
      </c>
      <c r="CG220" s="251">
        <v>109334.15888081194</v>
      </c>
      <c r="CH220" s="617">
        <v>131011.74970046536</v>
      </c>
    </row>
    <row r="221" spans="1:86" x14ac:dyDescent="0.25">
      <c r="A221" s="54" t="s">
        <v>2221</v>
      </c>
      <c r="B221" s="629">
        <v>3453.5985744930331</v>
      </c>
      <c r="C221" s="631">
        <v>41839.767859791165</v>
      </c>
      <c r="D221" s="631">
        <v>136667.96189168521</v>
      </c>
      <c r="E221" s="631">
        <v>118.16895663591839</v>
      </c>
      <c r="F221" s="631">
        <v>94.010608495098211</v>
      </c>
      <c r="G221" s="631">
        <v>276.40416620833662</v>
      </c>
      <c r="H221" s="669">
        <v>471.79536963568017</v>
      </c>
      <c r="I221" s="629">
        <v>301.36026240698953</v>
      </c>
      <c r="J221" s="629">
        <v>301.36026240698948</v>
      </c>
      <c r="K221" s="616">
        <v>63.720822292256173</v>
      </c>
      <c r="L221" s="617">
        <v>120.06491306682788</v>
      </c>
      <c r="M221" s="633">
        <v>4005.8977865789448</v>
      </c>
      <c r="N221" s="632">
        <v>18820.474786427341</v>
      </c>
      <c r="O221" s="631">
        <v>3841.7633853269663</v>
      </c>
      <c r="P221" s="632">
        <v>9547.5869375890106</v>
      </c>
      <c r="Q221" s="631">
        <v>3810.8050219332713</v>
      </c>
      <c r="R221" s="632">
        <v>7847.3026827207241</v>
      </c>
      <c r="S221" s="631">
        <v>6783.827282325432</v>
      </c>
      <c r="T221" s="632">
        <v>4722.2987436447502</v>
      </c>
      <c r="U221" s="631">
        <v>2614.7208063818302</v>
      </c>
      <c r="V221" s="632">
        <v>5283.0949815608283</v>
      </c>
      <c r="W221" s="631">
        <v>0</v>
      </c>
      <c r="X221" s="633">
        <v>20417.771762607623</v>
      </c>
      <c r="Y221" s="631">
        <v>7121.0044692971169</v>
      </c>
      <c r="Z221" s="632">
        <v>8429.5354250035198</v>
      </c>
      <c r="AA221" s="631">
        <v>4005.8977865789448</v>
      </c>
      <c r="AB221" s="632">
        <v>18820.474786427341</v>
      </c>
      <c r="AC221" s="631">
        <v>0</v>
      </c>
      <c r="AD221" s="632">
        <v>10865.397430155803</v>
      </c>
      <c r="AE221" s="631">
        <v>7697.6435945253706</v>
      </c>
      <c r="AF221" s="632">
        <v>7871.0698573571708</v>
      </c>
      <c r="AG221" s="631">
        <v>0</v>
      </c>
      <c r="AH221" s="632">
        <v>12782.97111624569</v>
      </c>
      <c r="AI221" s="631">
        <v>547.24484799719414</v>
      </c>
      <c r="AJ221" s="632">
        <v>14299.390428591136</v>
      </c>
      <c r="AK221" s="633">
        <v>4050.0793264967983</v>
      </c>
      <c r="AL221" s="633">
        <v>20798.982904886285</v>
      </c>
      <c r="AM221" s="631">
        <v>3884.1346667242206</v>
      </c>
      <c r="AN221" s="632">
        <v>11423.767959110826</v>
      </c>
      <c r="AO221" s="631">
        <v>3852.83485972888</v>
      </c>
      <c r="AP221" s="632">
        <v>9704.7209245556915</v>
      </c>
      <c r="AQ221" s="631">
        <v>6858.6469486868764</v>
      </c>
      <c r="AR221" s="632">
        <v>6545.2323043086026</v>
      </c>
      <c r="AS221" s="631">
        <v>2643.5588840952046</v>
      </c>
      <c r="AT221" s="632">
        <v>7112.216975853411</v>
      </c>
      <c r="AU221" s="684">
        <v>7041.6131112886087</v>
      </c>
      <c r="AV221" s="632">
        <v>6436.2074562498874</v>
      </c>
      <c r="AW221" s="684">
        <v>4050.0793264967983</v>
      </c>
      <c r="AX221" s="632">
        <v>20798.982904886285</v>
      </c>
      <c r="AY221" s="631">
        <v>0</v>
      </c>
      <c r="AZ221" s="685">
        <v>3507.0095105235537</v>
      </c>
      <c r="BA221" s="631">
        <v>7782.5418535085018</v>
      </c>
      <c r="BB221" s="632">
        <v>9728.7503719622418</v>
      </c>
      <c r="BC221" s="631">
        <v>0</v>
      </c>
      <c r="BD221" s="632">
        <v>18290.858053997526</v>
      </c>
      <c r="BE221" s="631">
        <v>0</v>
      </c>
      <c r="BF221" s="632">
        <v>10741.132514955736</v>
      </c>
      <c r="BG221" s="631">
        <v>4050.0793264967983</v>
      </c>
      <c r="BH221" s="632">
        <v>20798.982904886285</v>
      </c>
      <c r="BI221" s="631">
        <v>4223.096038152531</v>
      </c>
      <c r="BJ221" s="632">
        <v>20050.770574961534</v>
      </c>
      <c r="BK221" s="631">
        <v>4050.0623322067468</v>
      </c>
      <c r="BL221" s="632">
        <v>10275.055908745993</v>
      </c>
      <c r="BM221" s="631">
        <v>4017.4254181462779</v>
      </c>
      <c r="BN221" s="632">
        <v>8482.5729198426416</v>
      </c>
      <c r="BO221" s="631">
        <v>7151.6438126509838</v>
      </c>
      <c r="BP221" s="632">
        <v>5188.1141344888038</v>
      </c>
      <c r="BQ221" s="631">
        <v>2756.4899721857864</v>
      </c>
      <c r="BR221" s="632">
        <v>5779.3198189662107</v>
      </c>
      <c r="BS221" s="633">
        <v>6893.1511127463109</v>
      </c>
      <c r="BT221" s="633">
        <v>5074.431854955601</v>
      </c>
      <c r="BU221" s="631">
        <v>4223.096038152531</v>
      </c>
      <c r="BV221" s="632">
        <v>20050.770574961534</v>
      </c>
      <c r="BW221" s="631">
        <v>13.201143714096965</v>
      </c>
      <c r="BX221" s="685">
        <v>61.259421727910812</v>
      </c>
      <c r="BY221" s="630">
        <v>3.7682650640646989</v>
      </c>
      <c r="BZ221" s="685">
        <v>7789.8207686525957</v>
      </c>
      <c r="CA221" s="631">
        <v>61.18418324955924</v>
      </c>
      <c r="CB221" s="685">
        <v>5876.6740517422077</v>
      </c>
      <c r="CC221" s="616">
        <v>12496.752815341793</v>
      </c>
      <c r="CD221" s="251">
        <v>5142.1283966612727</v>
      </c>
      <c r="CE221" s="616">
        <v>19410.371018980655</v>
      </c>
      <c r="CF221" s="617">
        <v>7209.5805499776588</v>
      </c>
      <c r="CG221" s="251">
        <v>17170.552908183796</v>
      </c>
      <c r="CH221" s="617">
        <v>4262.6461019578674</v>
      </c>
    </row>
    <row r="222" spans="1:86" x14ac:dyDescent="0.25">
      <c r="A222" s="54" t="s">
        <v>250</v>
      </c>
      <c r="B222" s="629">
        <v>16317.284936284792</v>
      </c>
      <c r="C222" s="631">
        <v>537170.62671182561</v>
      </c>
      <c r="D222" s="631">
        <v>3143439.1394835566</v>
      </c>
      <c r="E222" s="631">
        <v>2246.4546267456767</v>
      </c>
      <c r="F222" s="631">
        <v>2463.4416589595808</v>
      </c>
      <c r="G222" s="631">
        <v>2279.5756212795541</v>
      </c>
      <c r="H222" s="669">
        <v>11284.87162373166</v>
      </c>
      <c r="I222" s="629">
        <v>805.8940581471777</v>
      </c>
      <c r="J222" s="629">
        <v>805.89405814717747</v>
      </c>
      <c r="K222" s="616">
        <v>818.09617491254801</v>
      </c>
      <c r="L222" s="617">
        <v>101.94526020107799</v>
      </c>
      <c r="M222" s="633">
        <v>18926.743858422065</v>
      </c>
      <c r="N222" s="632">
        <v>152423.62759095506</v>
      </c>
      <c r="O222" s="631">
        <v>49323.46786172947</v>
      </c>
      <c r="P222" s="632">
        <v>126212.68357887726</v>
      </c>
      <c r="Q222" s="631">
        <v>87650.635109195515</v>
      </c>
      <c r="R222" s="632">
        <v>160504.62304644147</v>
      </c>
      <c r="S222" s="631">
        <v>128964.15961746196</v>
      </c>
      <c r="T222" s="632">
        <v>162304.79727477816</v>
      </c>
      <c r="U222" s="631">
        <v>68515.801185620832</v>
      </c>
      <c r="V222" s="632">
        <v>138160.34075441104</v>
      </c>
      <c r="W222" s="631">
        <v>0</v>
      </c>
      <c r="X222" s="633">
        <v>265923.27207272704</v>
      </c>
      <c r="Y222" s="631">
        <v>10596.671253154973</v>
      </c>
      <c r="Z222" s="632">
        <v>175679.2172597489</v>
      </c>
      <c r="AA222" s="631">
        <v>18926.743858422065</v>
      </c>
      <c r="AB222" s="632">
        <v>152423.62759095506</v>
      </c>
      <c r="AC222" s="631">
        <v>0</v>
      </c>
      <c r="AD222" s="632">
        <v>918.13890535583414</v>
      </c>
      <c r="AE222" s="631">
        <v>63484.429052175066</v>
      </c>
      <c r="AF222" s="632">
        <v>156958.57303495301</v>
      </c>
      <c r="AG222" s="631">
        <v>0</v>
      </c>
      <c r="AH222" s="632">
        <v>246506.73089922476</v>
      </c>
      <c r="AI222" s="631">
        <v>13089.547405193196</v>
      </c>
      <c r="AJ222" s="632">
        <v>146403.73814923377</v>
      </c>
      <c r="AK222" s="633">
        <v>19135.48924680852</v>
      </c>
      <c r="AL222" s="633">
        <v>183663.89891713011</v>
      </c>
      <c r="AM222" s="631">
        <v>49867.462461771676</v>
      </c>
      <c r="AN222" s="632">
        <v>157163.71493445631</v>
      </c>
      <c r="AO222" s="631">
        <v>88617.344755876067</v>
      </c>
      <c r="AP222" s="632">
        <v>191834.06883679653</v>
      </c>
      <c r="AQ222" s="631">
        <v>130386.52121270807</v>
      </c>
      <c r="AR222" s="632">
        <v>193654.10813907458</v>
      </c>
      <c r="AS222" s="631">
        <v>69271.470392965086</v>
      </c>
      <c r="AT222" s="632">
        <v>169243.21551130174</v>
      </c>
      <c r="AU222" s="684">
        <v>10478.530037995652</v>
      </c>
      <c r="AV222" s="632">
        <v>153047.78667692564</v>
      </c>
      <c r="AW222" s="684">
        <v>19135.48924680852</v>
      </c>
      <c r="AX222" s="632">
        <v>183663.89891713011</v>
      </c>
      <c r="AY222" s="631">
        <v>0</v>
      </c>
      <c r="AZ222" s="685">
        <v>169006.43948848028</v>
      </c>
      <c r="BA222" s="631">
        <v>64184.606636767465</v>
      </c>
      <c r="BB222" s="632">
        <v>188248.88786533271</v>
      </c>
      <c r="BC222" s="631">
        <v>0</v>
      </c>
      <c r="BD222" s="632">
        <v>242286.24579673039</v>
      </c>
      <c r="BE222" s="631">
        <v>0</v>
      </c>
      <c r="BF222" s="632">
        <v>223086.0644734239</v>
      </c>
      <c r="BG222" s="631">
        <v>19135.48924680852</v>
      </c>
      <c r="BH222" s="632">
        <v>183663.89891713011</v>
      </c>
      <c r="BI222" s="631">
        <v>19952.94469854411</v>
      </c>
      <c r="BJ222" s="632">
        <v>39853.837242227339</v>
      </c>
      <c r="BK222" s="631">
        <v>51997.767494886742</v>
      </c>
      <c r="BL222" s="632">
        <v>12221.592145429011</v>
      </c>
      <c r="BM222" s="631">
        <v>92403.019146255479</v>
      </c>
      <c r="BN222" s="632">
        <v>48373.028575024029</v>
      </c>
      <c r="BO222" s="631">
        <v>135956.54721117808</v>
      </c>
      <c r="BP222" s="632">
        <v>50270.818119399744</v>
      </c>
      <c r="BQ222" s="631">
        <v>72230.701818517206</v>
      </c>
      <c r="BR222" s="632">
        <v>24817.116795542486</v>
      </c>
      <c r="BS222" s="633">
        <v>10257.605728943172</v>
      </c>
      <c r="BT222" s="633">
        <v>7929.8355867845275</v>
      </c>
      <c r="BU222" s="631">
        <v>19952.94469854411</v>
      </c>
      <c r="BV222" s="632">
        <v>39853.837242227339</v>
      </c>
      <c r="BW222" s="631">
        <v>62.371702680988477</v>
      </c>
      <c r="BX222" s="685">
        <v>508.45578956844446</v>
      </c>
      <c r="BY222" s="630">
        <v>55.365221402138587</v>
      </c>
      <c r="BZ222" s="685">
        <v>195901.84350269014</v>
      </c>
      <c r="CA222" s="631">
        <v>682.87875123872993</v>
      </c>
      <c r="CB222" s="685">
        <v>167514.92166455736</v>
      </c>
      <c r="CC222" s="616">
        <v>94072.023131079652</v>
      </c>
      <c r="CD222" s="251">
        <v>128270.29898643316</v>
      </c>
      <c r="CE222" s="616">
        <v>52447.281659435146</v>
      </c>
      <c r="CF222" s="617">
        <v>159969.47169914475</v>
      </c>
      <c r="CG222" s="251">
        <v>71279.1944032959</v>
      </c>
      <c r="CH222" s="617">
        <v>123646.05447462894</v>
      </c>
    </row>
    <row r="223" spans="1:86" x14ac:dyDescent="0.25">
      <c r="A223" s="54" t="s">
        <v>2350</v>
      </c>
      <c r="B223" s="683">
        <v>18967.732721984197</v>
      </c>
      <c r="C223" s="630">
        <v>442675.80971192382</v>
      </c>
      <c r="D223" s="630">
        <v>1051968.8763205635</v>
      </c>
      <c r="E223" s="631">
        <v>1985.4107410996928</v>
      </c>
      <c r="F223" s="631">
        <v>1585.7106952075983</v>
      </c>
      <c r="G223" s="631">
        <v>2162.1826735834779</v>
      </c>
      <c r="H223" s="669">
        <v>20478.104217476706</v>
      </c>
      <c r="I223" s="629">
        <v>389.92219970758822</v>
      </c>
      <c r="J223" s="629">
        <v>389.92219970758811</v>
      </c>
      <c r="K223" s="616">
        <v>674.18315269483674</v>
      </c>
      <c r="L223" s="617">
        <v>847.20398162042738</v>
      </c>
      <c r="M223" s="633">
        <v>22001.051045306078</v>
      </c>
      <c r="N223" s="632">
        <v>10586.84112820343</v>
      </c>
      <c r="O223" s="631">
        <v>40646.872683908929</v>
      </c>
      <c r="P223" s="632">
        <v>38793.895359314847</v>
      </c>
      <c r="Q223" s="631">
        <v>29332.758177641339</v>
      </c>
      <c r="R223" s="632">
        <v>10787.840301248876</v>
      </c>
      <c r="S223" s="631">
        <v>113978.18797360981</v>
      </c>
      <c r="T223" s="632">
        <v>12783.403305847438</v>
      </c>
      <c r="U223" s="631">
        <v>44103.434857329834</v>
      </c>
      <c r="V223" s="632">
        <v>16051.110384152526</v>
      </c>
      <c r="W223" s="631">
        <v>0</v>
      </c>
      <c r="X223" s="633">
        <v>8374.4171822568424</v>
      </c>
      <c r="Y223" s="631">
        <v>4087.5074973598439</v>
      </c>
      <c r="Z223" s="632">
        <v>4106.9728574913916</v>
      </c>
      <c r="AA223" s="631">
        <v>22001.051045306078</v>
      </c>
      <c r="AB223" s="632">
        <v>10586.84112820343</v>
      </c>
      <c r="AC223" s="631">
        <v>0</v>
      </c>
      <c r="AD223" s="632">
        <v>19212.136269900337</v>
      </c>
      <c r="AE223" s="631">
        <v>60215.125682868995</v>
      </c>
      <c r="AF223" s="632">
        <v>9008.0721046375093</v>
      </c>
      <c r="AG223" s="631">
        <v>0</v>
      </c>
      <c r="AH223" s="632">
        <v>25831.853142265474</v>
      </c>
      <c r="AI223" s="631">
        <v>23752.961031426436</v>
      </c>
      <c r="AJ223" s="632">
        <v>11439.924108821222</v>
      </c>
      <c r="AK223" s="633">
        <v>22243.70334618344</v>
      </c>
      <c r="AL223" s="633">
        <v>11555.79045105747</v>
      </c>
      <c r="AM223" s="631">
        <v>41095.172047421569</v>
      </c>
      <c r="AN223" s="632">
        <v>40074.111896834846</v>
      </c>
      <c r="AO223" s="631">
        <v>29656.27277920409</v>
      </c>
      <c r="AP223" s="632">
        <v>11759.007666874462</v>
      </c>
      <c r="AQ223" s="631">
        <v>115235.26744243501</v>
      </c>
      <c r="AR223" s="632">
        <v>13776.591876985745</v>
      </c>
      <c r="AS223" s="631">
        <v>44589.85707064539</v>
      </c>
      <c r="AT223" s="632">
        <v>17080.358377599685</v>
      </c>
      <c r="AU223" s="684">
        <v>4041.9362900274332</v>
      </c>
      <c r="AV223" s="632">
        <v>4605.6382551510433</v>
      </c>
      <c r="AW223" s="684">
        <v>22243.70334618344</v>
      </c>
      <c r="AX223" s="632">
        <v>11555.79045105747</v>
      </c>
      <c r="AY223" s="630">
        <v>0</v>
      </c>
      <c r="AZ223" s="685">
        <v>40824.641764924454</v>
      </c>
      <c r="BA223" s="631">
        <v>60879.24571806546</v>
      </c>
      <c r="BB223" s="632">
        <v>9959.5995785972991</v>
      </c>
      <c r="BC223" s="631">
        <v>0</v>
      </c>
      <c r="BD223" s="632">
        <v>8825.5301550754957</v>
      </c>
      <c r="BE223" s="631">
        <v>0</v>
      </c>
      <c r="BF223" s="632">
        <v>26088.43670866932</v>
      </c>
      <c r="BG223" s="631">
        <v>22243.70334618344</v>
      </c>
      <c r="BH223" s="632">
        <v>11555.79045105747</v>
      </c>
      <c r="BI223" s="631">
        <v>23193.939649661264</v>
      </c>
      <c r="BJ223" s="632">
        <v>10742.661741625288</v>
      </c>
      <c r="BK223" s="631">
        <v>42850.730632670697</v>
      </c>
      <c r="BL223" s="632">
        <v>40479.257097122536</v>
      </c>
      <c r="BM223" s="631">
        <v>30923.169149024456</v>
      </c>
      <c r="BN223" s="632">
        <v>10954.560191802671</v>
      </c>
      <c r="BO223" s="631">
        <v>120158.04189507871</v>
      </c>
      <c r="BP223" s="632">
        <v>13058.333563099854</v>
      </c>
      <c r="BQ223" s="631">
        <v>46494.706290039619</v>
      </c>
      <c r="BR223" s="632">
        <v>16503.233634255703</v>
      </c>
      <c r="BS223" s="633">
        <v>3956.7180410105821</v>
      </c>
      <c r="BT223" s="633">
        <v>3495.6060584307315</v>
      </c>
      <c r="BU223" s="631">
        <v>23193.939649661264</v>
      </c>
      <c r="BV223" s="632">
        <v>10742.661741625288</v>
      </c>
      <c r="BW223" s="630">
        <v>72.502857582470938</v>
      </c>
      <c r="BX223" s="685">
        <v>105.31217537627246</v>
      </c>
      <c r="BY223" s="630">
        <v>479.43701614287676</v>
      </c>
      <c r="BZ223" s="685">
        <v>4813.3652694924131</v>
      </c>
      <c r="CA223" s="631">
        <v>410.7794089093054</v>
      </c>
      <c r="CB223" s="685">
        <v>13531.001514361709</v>
      </c>
      <c r="CC223" s="616">
        <v>4448.460589031487</v>
      </c>
      <c r="CD223" s="251">
        <v>3754.164098798708</v>
      </c>
      <c r="CE223" s="616">
        <v>30776.18102034917</v>
      </c>
      <c r="CF223" s="617">
        <v>3752.728161545268</v>
      </c>
      <c r="CG223" s="251">
        <v>20884.411569332267</v>
      </c>
      <c r="CH223" s="617">
        <v>3103.0491238785908</v>
      </c>
    </row>
    <row r="224" spans="1:86" x14ac:dyDescent="0.25">
      <c r="A224" s="54" t="s">
        <v>2351</v>
      </c>
      <c r="B224" s="686">
        <v>533.4789844925225</v>
      </c>
      <c r="C224" s="687">
        <v>98.203940488622521</v>
      </c>
      <c r="D224" s="687">
        <v>413.49636826291675</v>
      </c>
      <c r="E224" s="636">
        <v>0.34898980901338261</v>
      </c>
      <c r="F224" s="636">
        <v>0.36761200301059987</v>
      </c>
      <c r="G224" s="636">
        <v>0.24741109542883075</v>
      </c>
      <c r="H224" s="669">
        <v>537.2729828340274</v>
      </c>
      <c r="I224" s="635">
        <v>10.309789217995652</v>
      </c>
      <c r="J224" s="635">
        <v>10.288027132732312</v>
      </c>
      <c r="K224" s="688">
        <v>0.14956191586064049</v>
      </c>
      <c r="L224" s="689">
        <v>3.5037371403580084E-2</v>
      </c>
      <c r="M224" s="624">
        <v>618.79290168478451</v>
      </c>
      <c r="N224" s="637">
        <v>5.8777394607816094</v>
      </c>
      <c r="O224" s="636">
        <v>9.0171700791530505</v>
      </c>
      <c r="P224" s="637">
        <v>4.1833079326451603</v>
      </c>
      <c r="Q224" s="636">
        <v>11.529798314957974</v>
      </c>
      <c r="R224" s="637">
        <v>4.0867048956569185</v>
      </c>
      <c r="S224" s="636">
        <v>20.034759170573153</v>
      </c>
      <c r="T224" s="637">
        <v>3.3006476558484419</v>
      </c>
      <c r="U224" s="636">
        <v>10.224407312475094</v>
      </c>
      <c r="V224" s="637">
        <v>3.4397792072955911</v>
      </c>
      <c r="W224" s="636">
        <v>0</v>
      </c>
      <c r="X224" s="624">
        <v>14.043687315962314</v>
      </c>
      <c r="Y224" s="636">
        <v>36.88419921350166</v>
      </c>
      <c r="Z224" s="637">
        <v>10.502287274924665</v>
      </c>
      <c r="AA224" s="636">
        <v>618.79290168478451</v>
      </c>
      <c r="AB224" s="637">
        <v>5.8777394607816094</v>
      </c>
      <c r="AC224" s="636">
        <v>0</v>
      </c>
      <c r="AD224" s="637">
        <v>11.411974126669852</v>
      </c>
      <c r="AE224" s="636">
        <v>6.8902088563555202</v>
      </c>
      <c r="AF224" s="637">
        <v>4.0440807910930276</v>
      </c>
      <c r="AG224" s="636">
        <v>0</v>
      </c>
      <c r="AH224" s="637">
        <v>12.298809003170929</v>
      </c>
      <c r="AI224" s="631">
        <v>623.19363594231174</v>
      </c>
      <c r="AJ224" s="637">
        <v>13.083105442156805</v>
      </c>
      <c r="AK224" s="624">
        <v>625.61764478688417</v>
      </c>
      <c r="AL224" s="624">
        <v>8.852138349071339</v>
      </c>
      <c r="AM224" s="636">
        <v>9.1166215582029952</v>
      </c>
      <c r="AN224" s="637">
        <v>7.1390086265795363</v>
      </c>
      <c r="AO224" s="636">
        <v>11.656961880190163</v>
      </c>
      <c r="AP224" s="637">
        <v>7.0413395669571965</v>
      </c>
      <c r="AQ224" s="636">
        <v>20.255724996262675</v>
      </c>
      <c r="AR224" s="637">
        <v>6.2466081194275418</v>
      </c>
      <c r="AS224" s="636">
        <v>10.337173559613488</v>
      </c>
      <c r="AT224" s="637">
        <v>6.3872749992410043</v>
      </c>
      <c r="AU224" s="690">
        <v>36.47298101005272</v>
      </c>
      <c r="AV224" s="637">
        <v>5.9103429680593873</v>
      </c>
      <c r="AW224" s="690">
        <v>625.61764478688417</v>
      </c>
      <c r="AX224" s="637">
        <v>8.852138349071339</v>
      </c>
      <c r="AY224" s="687">
        <v>0</v>
      </c>
      <c r="AZ224" s="691">
        <v>6.0711024904983191</v>
      </c>
      <c r="BA224" s="636">
        <v>6.966201818195267</v>
      </c>
      <c r="BB224" s="637">
        <v>6.9982451018162504</v>
      </c>
      <c r="BC224" s="636">
        <v>0</v>
      </c>
      <c r="BD224" s="637">
        <v>9.4122809455134391</v>
      </c>
      <c r="BE224" s="636">
        <v>0</v>
      </c>
      <c r="BF224" s="637">
        <v>7.6868459314533775</v>
      </c>
      <c r="BG224" s="636">
        <v>625.61764478688417</v>
      </c>
      <c r="BH224" s="637">
        <v>8.852138349071339</v>
      </c>
      <c r="BI224" s="636">
        <v>652.34361702813817</v>
      </c>
      <c r="BJ224" s="637">
        <v>4.5127170038042843</v>
      </c>
      <c r="BK224" s="636">
        <v>9.5060776049255136</v>
      </c>
      <c r="BL224" s="637">
        <v>2.7264041085634982</v>
      </c>
      <c r="BM224" s="636">
        <v>12.154939586259255</v>
      </c>
      <c r="BN224" s="637">
        <v>2.6245627252877135</v>
      </c>
      <c r="BO224" s="636">
        <v>21.121036178719823</v>
      </c>
      <c r="BP224" s="637">
        <v>1.7958811524114404</v>
      </c>
      <c r="BQ224" s="636">
        <v>10.778770781030362</v>
      </c>
      <c r="BR224" s="637">
        <v>1.9425571793608674</v>
      </c>
      <c r="BS224" s="624">
        <v>35.704002145697466</v>
      </c>
      <c r="BT224" s="624">
        <v>1.4452510931563065</v>
      </c>
      <c r="BU224" s="636">
        <v>652.34361702813817</v>
      </c>
      <c r="BV224" s="637">
        <v>4.5127170038042843</v>
      </c>
      <c r="BW224" s="687">
        <v>2.0391868339157213</v>
      </c>
      <c r="BX224" s="691">
        <v>2.0582921131081407E-2</v>
      </c>
      <c r="BY224" s="630">
        <v>1.0686688726425761E-2</v>
      </c>
      <c r="BZ224" s="691">
        <v>5.5877387895108912</v>
      </c>
      <c r="CA224" s="631">
        <v>0.18940093712627848</v>
      </c>
      <c r="CB224" s="691">
        <v>4.0282425469387348</v>
      </c>
      <c r="CC224" s="688">
        <v>3.6916189910494821</v>
      </c>
      <c r="CD224" s="692">
        <v>9.8332741826971226</v>
      </c>
      <c r="CE224" s="688">
        <v>662.63470121386172</v>
      </c>
      <c r="CF224" s="689">
        <v>12.098074381501794</v>
      </c>
      <c r="CG224" s="692">
        <v>411.65928311393901</v>
      </c>
      <c r="CH224" s="689">
        <v>10.631572525178225</v>
      </c>
    </row>
    <row r="225" spans="1:155" x14ac:dyDescent="0.25">
      <c r="A225" s="54" t="s">
        <v>254</v>
      </c>
      <c r="B225" s="686">
        <v>2.0279806366769888</v>
      </c>
      <c r="C225" s="687">
        <v>66.558710947748679</v>
      </c>
      <c r="D225" s="687">
        <v>412.91659063027703</v>
      </c>
      <c r="E225" s="687">
        <v>0.30746809446261203</v>
      </c>
      <c r="F225" s="687">
        <v>0.33736842495518476</v>
      </c>
      <c r="G225" s="636">
        <v>0.32339541515544534</v>
      </c>
      <c r="H225" s="656">
        <v>2.0719048182683397</v>
      </c>
      <c r="I225" s="635">
        <v>0.29743586415751855</v>
      </c>
      <c r="J225" s="635">
        <v>0.29743586415751844</v>
      </c>
      <c r="K225" s="688">
        <v>0.10136709664632226</v>
      </c>
      <c r="L225" s="689">
        <v>4.0954941627973487E-2</v>
      </c>
      <c r="M225" s="624">
        <v>2.3522951404049168</v>
      </c>
      <c r="N225" s="637">
        <v>18.734542260861286</v>
      </c>
      <c r="O225" s="636">
        <v>6.1114779496508005</v>
      </c>
      <c r="P225" s="637">
        <v>5.3013045382614097</v>
      </c>
      <c r="Q225" s="636">
        <v>11.513631983921158</v>
      </c>
      <c r="R225" s="637">
        <v>67.911108133630094</v>
      </c>
      <c r="S225" s="636">
        <v>17.651086266983953</v>
      </c>
      <c r="T225" s="637">
        <v>87.683487719365857</v>
      </c>
      <c r="U225" s="636">
        <v>9.383241468887876</v>
      </c>
      <c r="V225" s="637">
        <v>28.831656481256648</v>
      </c>
      <c r="W225" s="636">
        <v>0</v>
      </c>
      <c r="X225" s="624">
        <v>4.9463234161308671</v>
      </c>
      <c r="Y225" s="636">
        <v>0.2319198367858071</v>
      </c>
      <c r="Z225" s="637">
        <v>3.7175549798917604</v>
      </c>
      <c r="AA225" s="636">
        <v>2.3522951404049168</v>
      </c>
      <c r="AB225" s="637">
        <v>18.734542260861286</v>
      </c>
      <c r="AC225" s="636">
        <v>0</v>
      </c>
      <c r="AD225" s="637">
        <v>3.9799757421509696</v>
      </c>
      <c r="AE225" s="636">
        <v>9.0063137619056093</v>
      </c>
      <c r="AF225" s="637">
        <v>28.447401690995036</v>
      </c>
      <c r="AG225" s="636">
        <v>0</v>
      </c>
      <c r="AH225" s="637">
        <v>4.876610065681648</v>
      </c>
      <c r="AI225" s="636">
        <v>2.4032436736576308</v>
      </c>
      <c r="AJ225" s="637">
        <v>18.659254435035294</v>
      </c>
      <c r="AK225" s="624">
        <v>2.3782388931368428</v>
      </c>
      <c r="AL225" s="624">
        <v>18.80886112202359</v>
      </c>
      <c r="AM225" s="636">
        <v>6.1788821924385759</v>
      </c>
      <c r="AN225" s="637">
        <v>5.2273864918898711</v>
      </c>
      <c r="AO225" s="636">
        <v>11.640617248697847</v>
      </c>
      <c r="AP225" s="637">
        <v>68.528094533225783</v>
      </c>
      <c r="AQ225" s="636">
        <v>17.845762270727974</v>
      </c>
      <c r="AR225" s="637">
        <v>88.518663989854957</v>
      </c>
      <c r="AS225" s="636">
        <v>9.4867303943680703</v>
      </c>
      <c r="AT225" s="637">
        <v>29.017397846654791</v>
      </c>
      <c r="AU225" s="690">
        <v>0.22933418600143754</v>
      </c>
      <c r="AV225" s="637">
        <v>2.9316715034015428</v>
      </c>
      <c r="AW225" s="690">
        <v>2.3782388931368428</v>
      </c>
      <c r="AX225" s="637">
        <v>18.80886112202359</v>
      </c>
      <c r="AY225" s="687">
        <v>0</v>
      </c>
      <c r="AZ225" s="691">
        <v>5.0973359609744247</v>
      </c>
      <c r="BA225" s="636">
        <v>9.1056455052959357</v>
      </c>
      <c r="BB225" s="637">
        <v>28.628902772480266</v>
      </c>
      <c r="BC225" s="636">
        <v>0</v>
      </c>
      <c r="BD225" s="637">
        <v>4.1467476886668875</v>
      </c>
      <c r="BE225" s="636">
        <v>0</v>
      </c>
      <c r="BF225" s="637">
        <v>4.0778111588637893</v>
      </c>
      <c r="BG225" s="636">
        <v>2.3782388931368428</v>
      </c>
      <c r="BH225" s="637">
        <v>18.80886112202359</v>
      </c>
      <c r="BI225" s="636">
        <v>2.4798356865947668</v>
      </c>
      <c r="BJ225" s="637">
        <v>17.84683999074668</v>
      </c>
      <c r="BK225" s="636">
        <v>6.442839955351972</v>
      </c>
      <c r="BL225" s="637">
        <v>3.6851784716730323</v>
      </c>
      <c r="BM225" s="636">
        <v>12.13789672291367</v>
      </c>
      <c r="BN225" s="637">
        <v>69.690028873567584</v>
      </c>
      <c r="BO225" s="636">
        <v>18.608121438577157</v>
      </c>
      <c r="BP225" s="637">
        <v>90.534575281671948</v>
      </c>
      <c r="BQ225" s="636">
        <v>9.8919972459232408</v>
      </c>
      <c r="BR225" s="637">
        <v>28.491475101171094</v>
      </c>
      <c r="BS225" s="624">
        <v>0.22449901385412629</v>
      </c>
      <c r="BT225" s="624">
        <v>1.2913928558532237</v>
      </c>
      <c r="BU225" s="636">
        <v>2.4798356865947668</v>
      </c>
      <c r="BV225" s="637">
        <v>17.84683999074668</v>
      </c>
      <c r="BW225" s="687">
        <v>7.7518169111790037E-3</v>
      </c>
      <c r="BX225" s="691">
        <v>5.9962071534568853E-2</v>
      </c>
      <c r="BY225" s="687">
        <v>6.5435399834177631E-3</v>
      </c>
      <c r="BZ225" s="691">
        <v>3.5053892478603954</v>
      </c>
      <c r="CA225" s="693">
        <v>5.3653183430422594E-2</v>
      </c>
      <c r="CB225" s="691">
        <v>3.1896249739775455</v>
      </c>
      <c r="CC225" s="688">
        <v>1.2808902813174836</v>
      </c>
      <c r="CD225" s="692">
        <v>2.5217394286293215</v>
      </c>
      <c r="CE225" s="688">
        <v>19.244338726079896</v>
      </c>
      <c r="CF225" s="689">
        <v>3.0403139625194515</v>
      </c>
      <c r="CG225" s="692">
        <v>12.439768590748876</v>
      </c>
      <c r="CH225" s="689">
        <v>1.4798308030834848</v>
      </c>
    </row>
    <row r="226" spans="1:155" x14ac:dyDescent="0.25">
      <c r="A226" s="54" t="s">
        <v>251</v>
      </c>
      <c r="B226" s="686">
        <v>8.636459254832241</v>
      </c>
      <c r="C226" s="687">
        <v>145.77708254111099</v>
      </c>
      <c r="D226" s="687">
        <v>642.81394365776157</v>
      </c>
      <c r="E226" s="687">
        <v>0.72404150677578805</v>
      </c>
      <c r="F226" s="687">
        <v>0.66973131943974695</v>
      </c>
      <c r="G226" s="636">
        <v>0.87768315054709112</v>
      </c>
      <c r="H226" s="656">
        <v>8.9812609073966811</v>
      </c>
      <c r="I226" s="635">
        <v>0.19777935529088192</v>
      </c>
      <c r="J226" s="635">
        <v>0.19777935529088184</v>
      </c>
      <c r="K226" s="688">
        <v>0.22201451026243954</v>
      </c>
      <c r="L226" s="689">
        <v>0.12528890830502454</v>
      </c>
      <c r="M226" s="624">
        <v>10.017601138803547</v>
      </c>
      <c r="N226" s="637">
        <v>6.7225957063325268</v>
      </c>
      <c r="O226" s="636">
        <v>13.385376802351658</v>
      </c>
      <c r="P226" s="637">
        <v>10.383530817090413</v>
      </c>
      <c r="Q226" s="636">
        <v>17.924015041661079</v>
      </c>
      <c r="R226" s="637">
        <v>6.492323820235061</v>
      </c>
      <c r="S226" s="636">
        <v>41.565675681938231</v>
      </c>
      <c r="T226" s="637">
        <v>90.653544022718776</v>
      </c>
      <c r="U226" s="636">
        <v>18.627263919007277</v>
      </c>
      <c r="V226" s="637">
        <v>6.5709210475870403</v>
      </c>
      <c r="W226" s="636">
        <v>0</v>
      </c>
      <c r="X226" s="624">
        <v>12.238256788613876</v>
      </c>
      <c r="Y226" s="636">
        <v>1.2350070369394108</v>
      </c>
      <c r="Z226" s="637">
        <v>6.8053100199874113</v>
      </c>
      <c r="AA226" s="636">
        <v>10.017601138803547</v>
      </c>
      <c r="AB226" s="637">
        <v>6.7225957063325268</v>
      </c>
      <c r="AC226" s="636">
        <v>0</v>
      </c>
      <c r="AD226" s="637">
        <v>7.6137056799864755</v>
      </c>
      <c r="AE226" s="636">
        <v>24.442801186793012</v>
      </c>
      <c r="AF226" s="637">
        <v>6.2925750778134741</v>
      </c>
      <c r="AG226" s="636">
        <v>0</v>
      </c>
      <c r="AH226" s="637">
        <v>14.551410104033868</v>
      </c>
      <c r="AI226" s="636">
        <v>10.417543444495346</v>
      </c>
      <c r="AJ226" s="637">
        <v>6.749399862991261</v>
      </c>
      <c r="AK226" s="624">
        <v>10.128086495189329</v>
      </c>
      <c r="AL226" s="624">
        <v>8.4743263487710561</v>
      </c>
      <c r="AM226" s="636">
        <v>13.533005771191041</v>
      </c>
      <c r="AN226" s="637">
        <v>12.175660186232616</v>
      </c>
      <c r="AO226" s="636">
        <v>18.121701210465616</v>
      </c>
      <c r="AP226" s="637">
        <v>8.2415133930527009</v>
      </c>
      <c r="AQ226" s="636">
        <v>42.024108636844552</v>
      </c>
      <c r="AR226" s="637">
        <v>93.331459735482724</v>
      </c>
      <c r="AS226" s="636">
        <v>18.8327063062682</v>
      </c>
      <c r="AT226" s="637">
        <v>8.3209779474157841</v>
      </c>
      <c r="AU226" s="690">
        <v>1.2212380684974684</v>
      </c>
      <c r="AV226" s="637">
        <v>5.6647730272742773</v>
      </c>
      <c r="AW226" s="690">
        <v>10.128086495189329</v>
      </c>
      <c r="AX226" s="637">
        <v>8.4743263487710561</v>
      </c>
      <c r="AY226" s="687">
        <v>0</v>
      </c>
      <c r="AZ226" s="691">
        <v>10.935931573012565</v>
      </c>
      <c r="BA226" s="636">
        <v>24.712383850623461</v>
      </c>
      <c r="BB226" s="637">
        <v>8.0395604064666166</v>
      </c>
      <c r="BC226" s="636">
        <v>0</v>
      </c>
      <c r="BD226" s="637">
        <v>11.037180097378849</v>
      </c>
      <c r="BE226" s="636">
        <v>0</v>
      </c>
      <c r="BF226" s="637">
        <v>13.324557786731768</v>
      </c>
      <c r="BG226" s="636">
        <v>10.128086495189329</v>
      </c>
      <c r="BH226" s="637">
        <v>8.4743263487710561</v>
      </c>
      <c r="BI226" s="636">
        <v>10.560751655424154</v>
      </c>
      <c r="BJ226" s="637">
        <v>157.59926873020112</v>
      </c>
      <c r="BK226" s="636">
        <v>14.111126832186356</v>
      </c>
      <c r="BL226" s="637">
        <v>298.10554167078084</v>
      </c>
      <c r="BM226" s="636">
        <v>18.895848307419996</v>
      </c>
      <c r="BN226" s="637">
        <v>294.00333209717923</v>
      </c>
      <c r="BO226" s="636">
        <v>43.819350779150732</v>
      </c>
      <c r="BP226" s="637">
        <v>382.72823506935134</v>
      </c>
      <c r="BQ226" s="636">
        <v>19.637227070928652</v>
      </c>
      <c r="BR226" s="637">
        <v>294.08619129710416</v>
      </c>
      <c r="BS226" s="624">
        <v>1.1954900699239013</v>
      </c>
      <c r="BT226" s="624">
        <v>291.31651598357956</v>
      </c>
      <c r="BU226" s="636">
        <v>10.560751655424154</v>
      </c>
      <c r="BV226" s="637">
        <v>157.59926873020112</v>
      </c>
      <c r="BW226" s="687">
        <v>3.3012273240447275E-2</v>
      </c>
      <c r="BX226" s="691">
        <v>3.1037590559541674E-2</v>
      </c>
      <c r="BY226" s="687">
        <v>9.2318159882461906E-2</v>
      </c>
      <c r="BZ226" s="691">
        <v>8.5332976698019447</v>
      </c>
      <c r="CA226" s="693">
        <v>0.10317138416259054</v>
      </c>
      <c r="CB226" s="691">
        <v>7.8117676458011243</v>
      </c>
      <c r="CC226" s="688">
        <v>5.6634012639096651</v>
      </c>
      <c r="CD226" s="692">
        <v>5.5283040456485786</v>
      </c>
      <c r="CE226" s="688">
        <v>13.63888089509077</v>
      </c>
      <c r="CF226" s="689">
        <v>6.7078986509487883</v>
      </c>
      <c r="CG226" s="692">
        <v>10.77864764396417</v>
      </c>
      <c r="CH226" s="689">
        <v>4.8231343189363187</v>
      </c>
    </row>
    <row r="227" spans="1:155" x14ac:dyDescent="0.25">
      <c r="A227" s="54" t="s">
        <v>2352</v>
      </c>
      <c r="B227" s="686">
        <v>8.3873025366202025</v>
      </c>
      <c r="C227" s="687">
        <v>299.2503209619104</v>
      </c>
      <c r="D227" s="687">
        <v>1523.9746317634251</v>
      </c>
      <c r="E227" s="687">
        <v>1.4742559788345524</v>
      </c>
      <c r="F227" s="687">
        <v>1.4745921115771035</v>
      </c>
      <c r="G227" s="636">
        <v>1.3338744091795731</v>
      </c>
      <c r="H227" s="656">
        <v>9.0041556261852946</v>
      </c>
      <c r="I227" s="635">
        <v>0.22389842005793309</v>
      </c>
      <c r="J227" s="635">
        <v>0.22389842005793301</v>
      </c>
      <c r="K227" s="688">
        <v>0.45575005546911018</v>
      </c>
      <c r="L227" s="689">
        <v>0.90215863650264239</v>
      </c>
      <c r="M227" s="624">
        <v>9.7285992978344105</v>
      </c>
      <c r="N227" s="637">
        <v>12.154355844352116</v>
      </c>
      <c r="O227" s="636">
        <v>27.477421241231248</v>
      </c>
      <c r="P227" s="637">
        <v>57.728302240110594</v>
      </c>
      <c r="Q227" s="636">
        <v>42.494013224735866</v>
      </c>
      <c r="R227" s="637">
        <v>9.7567842789751165</v>
      </c>
      <c r="S227" s="636">
        <v>84.633885371120471</v>
      </c>
      <c r="T227" s="637">
        <v>59.420837480821213</v>
      </c>
      <c r="U227" s="636">
        <v>41.012889255665279</v>
      </c>
      <c r="V227" s="637">
        <v>9.4384724894893299</v>
      </c>
      <c r="W227" s="636">
        <v>0</v>
      </c>
      <c r="X227" s="624">
        <v>17.667803196303197</v>
      </c>
      <c r="Y227" s="636">
        <v>1.7427936381828555</v>
      </c>
      <c r="Z227" s="637">
        <v>10.038292276015808</v>
      </c>
      <c r="AA227" s="636">
        <v>9.7285992978344105</v>
      </c>
      <c r="AB227" s="637">
        <v>12.154355844352116</v>
      </c>
      <c r="AC227" s="636">
        <v>0</v>
      </c>
      <c r="AD227" s="637">
        <v>14.473611405528731</v>
      </c>
      <c r="AE227" s="636">
        <v>37.147377127388502</v>
      </c>
      <c r="AF227" s="637">
        <v>9.484141487304516</v>
      </c>
      <c r="AG227" s="636">
        <v>0</v>
      </c>
      <c r="AH227" s="637">
        <v>18.007984298060748</v>
      </c>
      <c r="AI227" s="636">
        <v>10.444099484909836</v>
      </c>
      <c r="AJ227" s="637">
        <v>12.038637832256063</v>
      </c>
      <c r="AK227" s="624">
        <v>9.835897217332537</v>
      </c>
      <c r="AL227" s="624">
        <v>14.303643074259822</v>
      </c>
      <c r="AM227" s="636">
        <v>27.78047310328235</v>
      </c>
      <c r="AN227" s="637">
        <v>60.3805017996687</v>
      </c>
      <c r="AO227" s="636">
        <v>42.962684928704086</v>
      </c>
      <c r="AP227" s="637">
        <v>11.879614105107066</v>
      </c>
      <c r="AQ227" s="636">
        <v>85.567322913499822</v>
      </c>
      <c r="AR227" s="637">
        <v>62.09171430904351</v>
      </c>
      <c r="AS227" s="636">
        <v>41.465225461013944</v>
      </c>
      <c r="AT227" s="637">
        <v>11.557789718265429</v>
      </c>
      <c r="AU227" s="690">
        <v>1.7233634083240639</v>
      </c>
      <c r="AV227" s="637">
        <v>7.857010468880981</v>
      </c>
      <c r="AW227" s="690">
        <v>9.835897217332537</v>
      </c>
      <c r="AX227" s="637">
        <v>14.303643074259822</v>
      </c>
      <c r="AY227" s="687">
        <v>0</v>
      </c>
      <c r="AZ227" s="691">
        <v>56.649300438513023</v>
      </c>
      <c r="BA227" s="636">
        <v>37.557080123529829</v>
      </c>
      <c r="BB227" s="637">
        <v>11.603962677310667</v>
      </c>
      <c r="BC227" s="636">
        <v>0</v>
      </c>
      <c r="BD227" s="637">
        <v>15.40150522562873</v>
      </c>
      <c r="BE227" s="636">
        <v>0</v>
      </c>
      <c r="BF227" s="637">
        <v>15.737895666034298</v>
      </c>
      <c r="BG227" s="636">
        <v>9.835897217332537</v>
      </c>
      <c r="BH227" s="637">
        <v>14.303643074259822</v>
      </c>
      <c r="BI227" s="636">
        <v>10.256080244759465</v>
      </c>
      <c r="BJ227" s="637">
        <v>251.99127571273428</v>
      </c>
      <c r="BK227" s="636">
        <v>28.967236550883236</v>
      </c>
      <c r="BL227" s="637">
        <v>516.14090960974715</v>
      </c>
      <c r="BM227" s="636">
        <v>44.798022429783416</v>
      </c>
      <c r="BN227" s="637">
        <v>465.56811294295221</v>
      </c>
      <c r="BO227" s="636">
        <v>89.222702386889907</v>
      </c>
      <c r="BP227" s="637">
        <v>517.92522339046138</v>
      </c>
      <c r="BQ227" s="636">
        <v>43.236592483480045</v>
      </c>
      <c r="BR227" s="637">
        <v>465.23254054310951</v>
      </c>
      <c r="BS227" s="624">
        <v>1.6870288395582378</v>
      </c>
      <c r="BT227" s="624">
        <v>461.37366773924549</v>
      </c>
      <c r="BU227" s="636">
        <v>10.256080244759465</v>
      </c>
      <c r="BV227" s="637">
        <v>251.99127571273428</v>
      </c>
      <c r="BW227" s="687">
        <v>3.2059888771464012E-2</v>
      </c>
      <c r="BX227" s="691">
        <v>6.8843049862248901E-2</v>
      </c>
      <c r="BY227" s="687">
        <v>6.2867403986114609E-2</v>
      </c>
      <c r="BZ227" s="691">
        <v>11.911566427715011</v>
      </c>
      <c r="CA227" s="693">
        <v>0.17572594630406596</v>
      </c>
      <c r="CB227" s="691">
        <v>11.020178023794468</v>
      </c>
      <c r="CC227" s="688">
        <v>7.9531391764201125</v>
      </c>
      <c r="CD227" s="692">
        <v>7.7447863296975701</v>
      </c>
      <c r="CE227" s="688">
        <v>17.164931652032614</v>
      </c>
      <c r="CF227" s="689">
        <v>9.0093887799372059</v>
      </c>
      <c r="CG227" s="692">
        <v>13.905905651107222</v>
      </c>
      <c r="CH227" s="689">
        <v>6.8534494843655054</v>
      </c>
    </row>
    <row r="228" spans="1:155" x14ac:dyDescent="0.25">
      <c r="A228" s="54" t="s">
        <v>252</v>
      </c>
      <c r="B228" s="686">
        <v>0.78402163177783801</v>
      </c>
      <c r="C228" s="687">
        <v>23.874966395595614</v>
      </c>
      <c r="D228" s="687">
        <v>108.7855676346183</v>
      </c>
      <c r="E228" s="687">
        <v>0.10741900190179578</v>
      </c>
      <c r="F228" s="687">
        <v>0.10783443970721369</v>
      </c>
      <c r="G228" s="636">
        <v>0.1003378749121306</v>
      </c>
      <c r="H228" s="656">
        <v>0.78628356450060721</v>
      </c>
      <c r="I228" s="635">
        <v>1.9871973395916887E-2</v>
      </c>
      <c r="J228" s="635">
        <v>1.9871973395916884E-2</v>
      </c>
      <c r="K228" s="688">
        <v>3.636092093114518E-2</v>
      </c>
      <c r="L228" s="689">
        <v>8.1138923855418224E-2</v>
      </c>
      <c r="M228" s="624">
        <v>0.90940230939546618</v>
      </c>
      <c r="N228" s="637">
        <v>0.72385082910440757</v>
      </c>
      <c r="O228" s="636">
        <v>2.1922199002604308</v>
      </c>
      <c r="P228" s="637">
        <v>4.8818094835926882</v>
      </c>
      <c r="Q228" s="636">
        <v>3.0333414043623534</v>
      </c>
      <c r="R228" s="637">
        <v>0.56964607141827694</v>
      </c>
      <c r="S228" s="636">
        <v>6.166695352881467</v>
      </c>
      <c r="T228" s="637">
        <v>5.8078306028248354</v>
      </c>
      <c r="U228" s="636">
        <v>2.9992035756441253</v>
      </c>
      <c r="V228" s="637">
        <v>0.58265398365643906</v>
      </c>
      <c r="W228" s="636">
        <v>0</v>
      </c>
      <c r="X228" s="624">
        <v>1.1971385218676132</v>
      </c>
      <c r="Y228" s="636">
        <v>0.17845397760098172</v>
      </c>
      <c r="Z228" s="637">
        <v>0.66323735290598429</v>
      </c>
      <c r="AA228" s="636">
        <v>0.90940230939546618</v>
      </c>
      <c r="AB228" s="637">
        <v>0.72385082910440757</v>
      </c>
      <c r="AC228" s="636">
        <v>0</v>
      </c>
      <c r="AD228" s="637">
        <v>1.2224079287895155</v>
      </c>
      <c r="AE228" s="636">
        <v>2.7943327001934128</v>
      </c>
      <c r="AF228" s="637">
        <v>0.55539169519229026</v>
      </c>
      <c r="AG228" s="636">
        <v>0</v>
      </c>
      <c r="AH228" s="637">
        <v>1.1276705143365888</v>
      </c>
      <c r="AI228" s="636">
        <v>0.91202597022114895</v>
      </c>
      <c r="AJ228" s="637">
        <v>0.67182578660434988</v>
      </c>
      <c r="AK228" s="624">
        <v>0.91943221943674491</v>
      </c>
      <c r="AL228" s="624">
        <v>0.81868486806087448</v>
      </c>
      <c r="AM228" s="636">
        <v>2.2163981634593983</v>
      </c>
      <c r="AN228" s="637">
        <v>5.0225269458401742</v>
      </c>
      <c r="AO228" s="636">
        <v>3.0667965001938837</v>
      </c>
      <c r="AP228" s="637">
        <v>0.66277844791045626</v>
      </c>
      <c r="AQ228" s="636">
        <v>6.2347085952081667</v>
      </c>
      <c r="AR228" s="637">
        <v>5.958766785968999</v>
      </c>
      <c r="AS228" s="636">
        <v>3.0322821611594728</v>
      </c>
      <c r="AT228" s="637">
        <v>0.67592990355367666</v>
      </c>
      <c r="AU228" s="690">
        <v>0.1764644122686122</v>
      </c>
      <c r="AV228" s="637">
        <v>0.44222513239923</v>
      </c>
      <c r="AW228" s="690">
        <v>0.91943221943674491</v>
      </c>
      <c r="AX228" s="637">
        <v>0.81868486806087448</v>
      </c>
      <c r="AY228" s="687">
        <v>0</v>
      </c>
      <c r="AZ228" s="691">
        <v>4.8238053086147996</v>
      </c>
      <c r="BA228" s="636">
        <v>2.8251517395985077</v>
      </c>
      <c r="BB228" s="637">
        <v>0.64836677344452176</v>
      </c>
      <c r="BC228" s="636">
        <v>0</v>
      </c>
      <c r="BD228" s="637">
        <v>0.97017700401156903</v>
      </c>
      <c r="BE228" s="636">
        <v>0</v>
      </c>
      <c r="BF228" s="637">
        <v>0.90148308325369897</v>
      </c>
      <c r="BG228" s="636">
        <v>0.91943221943674491</v>
      </c>
      <c r="BH228" s="637">
        <v>0.81868486806087448</v>
      </c>
      <c r="BI228" s="636">
        <v>0.9587097560905451</v>
      </c>
      <c r="BJ228" s="637">
        <v>0.5323078213077167</v>
      </c>
      <c r="BK228" s="636">
        <v>2.3110812279250137</v>
      </c>
      <c r="BL228" s="637">
        <v>4.9157337898738085</v>
      </c>
      <c r="BM228" s="636">
        <v>3.1978080194768435</v>
      </c>
      <c r="BN228" s="637">
        <v>0.36974123623881927</v>
      </c>
      <c r="BO228" s="636">
        <v>6.5010512251456642</v>
      </c>
      <c r="BP228" s="637">
        <v>5.8919688510621162</v>
      </c>
      <c r="BQ228" s="636">
        <v>3.1618192506934562</v>
      </c>
      <c r="BR228" s="637">
        <v>0.38345450879386034</v>
      </c>
      <c r="BS228" s="624">
        <v>0.17274392111084166</v>
      </c>
      <c r="BT228" s="624">
        <v>0.13976610568492231</v>
      </c>
      <c r="BU228" s="636">
        <v>0.9587097560905451</v>
      </c>
      <c r="BV228" s="637">
        <v>0.5323078213077167</v>
      </c>
      <c r="BW228" s="687">
        <v>2.9968689217389328E-3</v>
      </c>
      <c r="BX228" s="691">
        <v>3.1703806373740498E-3</v>
      </c>
      <c r="BY228" s="687">
        <v>3.5093443149299321E-3</v>
      </c>
      <c r="BZ228" s="691">
        <v>0.68059725881092004</v>
      </c>
      <c r="CA228" s="693">
        <v>1.2714747740832281E-2</v>
      </c>
      <c r="CB228" s="691">
        <v>0.61179145349650799</v>
      </c>
      <c r="CC228" s="688">
        <v>0.55654816508805505</v>
      </c>
      <c r="CD228" s="692">
        <v>0.47180458553332549</v>
      </c>
      <c r="CE228" s="688">
        <v>1.3661269057214671</v>
      </c>
      <c r="CF228" s="689">
        <v>0.54562484678338041</v>
      </c>
      <c r="CG228" s="692">
        <v>1.0752100013460424</v>
      </c>
      <c r="CH228" s="689">
        <v>0.39111991978912608</v>
      </c>
    </row>
    <row r="229" spans="1:155" x14ac:dyDescent="0.25">
      <c r="A229" s="54" t="s">
        <v>253</v>
      </c>
      <c r="B229" s="635">
        <v>0.66535709210259841</v>
      </c>
      <c r="C229" s="636">
        <v>19.952188907161162</v>
      </c>
      <c r="D229" s="636">
        <v>91.221592645132858</v>
      </c>
      <c r="E229" s="636">
        <v>9.337058995529969E-2</v>
      </c>
      <c r="F229" s="636">
        <v>9.2800675963400123E-2</v>
      </c>
      <c r="G229" s="636">
        <v>8.9251068505172296E-2</v>
      </c>
      <c r="H229" s="656">
        <v>0.69856875751168857</v>
      </c>
      <c r="I229" s="635">
        <v>1.5663473637979711E-2</v>
      </c>
      <c r="J229" s="635">
        <v>1.5663473637979708E-2</v>
      </c>
      <c r="K229" s="688">
        <v>3.0386638089274692E-2</v>
      </c>
      <c r="L229" s="689">
        <v>7.1188326540406022E-2</v>
      </c>
      <c r="M229" s="624">
        <v>0.77176094587937438</v>
      </c>
      <c r="N229" s="637">
        <v>0.53864762368449326</v>
      </c>
      <c r="O229" s="636">
        <v>1.8320271053492696</v>
      </c>
      <c r="P229" s="637">
        <v>4.3852561842966846</v>
      </c>
      <c r="Q229" s="636">
        <v>2.5435932353797175</v>
      </c>
      <c r="R229" s="637">
        <v>0.46791862662768169</v>
      </c>
      <c r="S229" s="636">
        <v>5.3602060434292866</v>
      </c>
      <c r="T229" s="637">
        <v>5.397842322572548</v>
      </c>
      <c r="U229" s="636">
        <v>2.5810689045848725</v>
      </c>
      <c r="V229" s="637">
        <v>0.45694095305332744</v>
      </c>
      <c r="W229" s="636">
        <v>0</v>
      </c>
      <c r="X229" s="624">
        <v>0.96104480972322559</v>
      </c>
      <c r="Y229" s="636">
        <v>9.6431502945174372E-2</v>
      </c>
      <c r="Z229" s="637">
        <v>0.55480499200284816</v>
      </c>
      <c r="AA229" s="636">
        <v>0.77176094587937438</v>
      </c>
      <c r="AB229" s="637">
        <v>0.53864762368449326</v>
      </c>
      <c r="AC229" s="636">
        <v>0</v>
      </c>
      <c r="AD229" s="637">
        <v>0.94057310457409005</v>
      </c>
      <c r="AE229" s="636">
        <v>2.4855736626833207</v>
      </c>
      <c r="AF229" s="637">
        <v>0.45380463265841564</v>
      </c>
      <c r="AG229" s="636">
        <v>0</v>
      </c>
      <c r="AH229" s="637">
        <v>0.86813880171684465</v>
      </c>
      <c r="AI229" s="636">
        <v>0.81028381820549711</v>
      </c>
      <c r="AJ229" s="637">
        <v>0.52438372538755718</v>
      </c>
      <c r="AK229" s="624">
        <v>0.78027279237522051</v>
      </c>
      <c r="AL229" s="624">
        <v>0.61481592207107261</v>
      </c>
      <c r="AM229" s="636">
        <v>1.8522327578641089</v>
      </c>
      <c r="AN229" s="637">
        <v>4.5038721315147185</v>
      </c>
      <c r="AO229" s="636">
        <v>2.5716468383548658</v>
      </c>
      <c r="AP229" s="637">
        <v>0.54330642458590694</v>
      </c>
      <c r="AQ229" s="636">
        <v>5.4193244158623335</v>
      </c>
      <c r="AR229" s="637">
        <v>5.5276322429494957</v>
      </c>
      <c r="AS229" s="636">
        <v>2.6095358313299091</v>
      </c>
      <c r="AT229" s="637">
        <v>0.53220761146082174</v>
      </c>
      <c r="AU229" s="690">
        <v>9.5356397880063462E-2</v>
      </c>
      <c r="AV229" s="637">
        <v>0.36519047743598521</v>
      </c>
      <c r="AW229" s="690">
        <v>0.78027279237522051</v>
      </c>
      <c r="AX229" s="637">
        <v>0.61481592207107261</v>
      </c>
      <c r="AY229" s="636">
        <v>0</v>
      </c>
      <c r="AZ229" s="691">
        <v>4.3202663574460844</v>
      </c>
      <c r="BA229" s="636">
        <v>2.51298736064749</v>
      </c>
      <c r="BB229" s="637">
        <v>0.52903668150669747</v>
      </c>
      <c r="BC229" s="636">
        <v>0</v>
      </c>
      <c r="BD229" s="637">
        <v>0.76690353700102787</v>
      </c>
      <c r="BE229" s="636">
        <v>0</v>
      </c>
      <c r="BF229" s="637">
        <v>0.67503278701485403</v>
      </c>
      <c r="BG229" s="636">
        <v>0.78027279237522051</v>
      </c>
      <c r="BH229" s="637">
        <v>0.61481592207107261</v>
      </c>
      <c r="BI229" s="636">
        <v>0.81360553029173144</v>
      </c>
      <c r="BJ229" s="637">
        <v>0.34710179596793084</v>
      </c>
      <c r="BK229" s="636">
        <v>1.9313589169223002</v>
      </c>
      <c r="BL229" s="637">
        <v>4.4022945616043252</v>
      </c>
      <c r="BM229" s="636">
        <v>2.6815058913865202</v>
      </c>
      <c r="BN229" s="637">
        <v>0.2725374849219811</v>
      </c>
      <c r="BO229" s="636">
        <v>5.6508343726411665</v>
      </c>
      <c r="BP229" s="637">
        <v>5.4697886717579376</v>
      </c>
      <c r="BQ229" s="636">
        <v>2.7210134770961805</v>
      </c>
      <c r="BR229" s="637">
        <v>0.26096454170179695</v>
      </c>
      <c r="BS229" s="624">
        <v>9.3345949254254448E-2</v>
      </c>
      <c r="BT229" s="624">
        <v>8.6812604275381677E-2</v>
      </c>
      <c r="BU229" s="636">
        <v>0.81360553029173144</v>
      </c>
      <c r="BV229" s="637">
        <v>0.34710179596793084</v>
      </c>
      <c r="BW229" s="636">
        <v>2.5432818564703665E-3</v>
      </c>
      <c r="BX229" s="691">
        <v>2.4519142126834992E-3</v>
      </c>
      <c r="BY229" s="687">
        <v>9.9923686118820183E-4</v>
      </c>
      <c r="BZ229" s="691">
        <v>0.58054219153796416</v>
      </c>
      <c r="CA229" s="693">
        <v>1.0826935016588653E-2</v>
      </c>
      <c r="CB229" s="691">
        <v>0.53148919996725552</v>
      </c>
      <c r="CC229" s="688">
        <v>0.42347168030686816</v>
      </c>
      <c r="CD229" s="692">
        <v>0.40025242726375199</v>
      </c>
      <c r="CE229" s="688">
        <v>1.0857191643678736</v>
      </c>
      <c r="CF229" s="689">
        <v>0.46181959702974046</v>
      </c>
      <c r="CG229" s="692">
        <v>0.84674080771431792</v>
      </c>
      <c r="CH229" s="689">
        <v>0.3363702962578623</v>
      </c>
    </row>
    <row r="230" spans="1:155" x14ac:dyDescent="0.25">
      <c r="A230" s="54" t="s">
        <v>898</v>
      </c>
      <c r="B230" s="686">
        <v>3.250403678037495</v>
      </c>
      <c r="C230" s="687">
        <v>99.084969902513507</v>
      </c>
      <c r="D230" s="687">
        <v>471.89092619055407</v>
      </c>
      <c r="E230" s="687">
        <v>0.3485027592266457</v>
      </c>
      <c r="F230" s="687">
        <v>0.40957597576361282</v>
      </c>
      <c r="G230" s="636">
        <v>0.2075750368464388</v>
      </c>
      <c r="H230" s="656">
        <v>3.3590354270199168</v>
      </c>
      <c r="I230" s="686">
        <v>0.11602600052056274</v>
      </c>
      <c r="J230" s="635">
        <v>0.11602600052056271</v>
      </c>
      <c r="K230" s="688">
        <v>0.15090369956519947</v>
      </c>
      <c r="L230" s="689">
        <v>0.64531349404767302</v>
      </c>
      <c r="M230" s="624">
        <v>3.7702079782824307</v>
      </c>
      <c r="N230" s="637">
        <v>5.2518004422885536</v>
      </c>
      <c r="O230" s="636">
        <v>9.0980669559001903</v>
      </c>
      <c r="P230" s="637">
        <v>37.114707378878229</v>
      </c>
      <c r="Q230" s="636">
        <v>13.158053185551402</v>
      </c>
      <c r="R230" s="637">
        <v>2.7629915184112983</v>
      </c>
      <c r="S230" s="636">
        <v>20.006798683105224</v>
      </c>
      <c r="T230" s="637">
        <v>49.713812296606534</v>
      </c>
      <c r="U230" s="636">
        <v>11.391552961590472</v>
      </c>
      <c r="V230" s="637">
        <v>2.2740158500354104</v>
      </c>
      <c r="W230" s="636">
        <v>0</v>
      </c>
      <c r="X230" s="624">
        <v>5.8145089233218652</v>
      </c>
      <c r="Y230" s="636">
        <v>0.8861801448354808</v>
      </c>
      <c r="Z230" s="637">
        <v>3.5960409886805595</v>
      </c>
      <c r="AA230" s="636">
        <v>3.7702079782824307</v>
      </c>
      <c r="AB230" s="637">
        <v>5.2518004422885536</v>
      </c>
      <c r="AC230" s="636">
        <v>0</v>
      </c>
      <c r="AD230" s="637">
        <v>9.175523447254152</v>
      </c>
      <c r="AE230" s="636">
        <v>5.7808052414087143</v>
      </c>
      <c r="AF230" s="637">
        <v>2.7216120979294955</v>
      </c>
      <c r="AG230" s="636">
        <v>0</v>
      </c>
      <c r="AH230" s="637">
        <v>4.8533459047326835</v>
      </c>
      <c r="AI230" s="636">
        <v>3.8962121080081218</v>
      </c>
      <c r="AJ230" s="637">
        <v>5.0716093615558613</v>
      </c>
      <c r="AK230" s="624">
        <v>3.8117900662850679</v>
      </c>
      <c r="AL230" s="624">
        <v>5.5282232441653827</v>
      </c>
      <c r="AM230" s="636">
        <v>9.1984106565642794</v>
      </c>
      <c r="AN230" s="637">
        <v>37.742740037355183</v>
      </c>
      <c r="AO230" s="636">
        <v>13.303174974231675</v>
      </c>
      <c r="AP230" s="637">
        <v>3.0119501045914538</v>
      </c>
      <c r="AQ230" s="636">
        <v>20.22745612913581</v>
      </c>
      <c r="AR230" s="637">
        <v>50.480877136994209</v>
      </c>
      <c r="AS230" s="636">
        <v>11.517191801798793</v>
      </c>
      <c r="AT230" s="637">
        <v>2.5175785486093041</v>
      </c>
      <c r="AU230" s="690">
        <v>0.87630021210379827</v>
      </c>
      <c r="AV230" s="637">
        <v>2.2399217265928497</v>
      </c>
      <c r="AW230" s="690">
        <v>3.8117900662850679</v>
      </c>
      <c r="AX230" s="637">
        <v>5.5282232441653827</v>
      </c>
      <c r="AY230" s="687">
        <v>0</v>
      </c>
      <c r="AZ230" s="691">
        <v>38.031155473734628</v>
      </c>
      <c r="BA230" s="636">
        <v>5.8445624541829195</v>
      </c>
      <c r="BB230" s="637">
        <v>2.9701140587260739</v>
      </c>
      <c r="BC230" s="636">
        <v>0</v>
      </c>
      <c r="BD230" s="637">
        <v>4.4336691208601469</v>
      </c>
      <c r="BE230" s="636">
        <v>0</v>
      </c>
      <c r="BF230" s="637">
        <v>3.4832164077191607</v>
      </c>
      <c r="BG230" s="636">
        <v>3.8117900662850679</v>
      </c>
      <c r="BH230" s="637">
        <v>5.5282232441653827</v>
      </c>
      <c r="BI230" s="636">
        <v>3.9746272182578615</v>
      </c>
      <c r="BJ230" s="637">
        <v>4.0626611186971058</v>
      </c>
      <c r="BK230" s="636">
        <v>9.5913606795047865</v>
      </c>
      <c r="BL230" s="637">
        <v>37.653349556420608</v>
      </c>
      <c r="BM230" s="636">
        <v>13.871477815503003</v>
      </c>
      <c r="BN230" s="637">
        <v>1.4388953301781682</v>
      </c>
      <c r="BO230" s="636">
        <v>21.091559684275499</v>
      </c>
      <c r="BP230" s="637">
        <v>50.935647016844911</v>
      </c>
      <c r="BQ230" s="636">
        <v>12.009198622509436</v>
      </c>
      <c r="BR230" s="637">
        <v>0.92340472027463671</v>
      </c>
      <c r="BS230" s="624">
        <v>0.85782471810038508</v>
      </c>
      <c r="BT230" s="624">
        <v>0.6338866790499782</v>
      </c>
      <c r="BU230" s="636">
        <v>3.9746272182578615</v>
      </c>
      <c r="BV230" s="637">
        <v>4.0626611186971058</v>
      </c>
      <c r="BW230" s="687">
        <v>1.2424445156861091E-2</v>
      </c>
      <c r="BX230" s="691">
        <v>1.7503158148551391E-2</v>
      </c>
      <c r="BY230" s="687">
        <v>2.4326962948437053E-3</v>
      </c>
      <c r="BZ230" s="691">
        <v>2.8512291963622323</v>
      </c>
      <c r="CA230" s="693">
        <v>5.567056582992394E-2</v>
      </c>
      <c r="CB230" s="691">
        <v>2.362570334569694</v>
      </c>
      <c r="CC230" s="688">
        <v>2.312570809186675</v>
      </c>
      <c r="CD230" s="692">
        <v>3.1423814051770234</v>
      </c>
      <c r="CE230" s="688">
        <v>7.4848454416152688</v>
      </c>
      <c r="CF230" s="689">
        <v>3.2660842010123443</v>
      </c>
      <c r="CG230" s="692">
        <v>5.5869651335483734</v>
      </c>
      <c r="CH230" s="689">
        <v>2.2436463706178578</v>
      </c>
    </row>
    <row r="231" spans="1:155" x14ac:dyDescent="0.25">
      <c r="A231" s="54" t="s">
        <v>899</v>
      </c>
      <c r="B231" s="635">
        <v>0.23863249715265825</v>
      </c>
      <c r="C231" s="636">
        <v>5.7947299311078488</v>
      </c>
      <c r="D231" s="636">
        <v>16.723031875784002</v>
      </c>
      <c r="E231" s="636">
        <v>3.4609844278403253E-2</v>
      </c>
      <c r="F231" s="636">
        <v>2.827421267352459E-2</v>
      </c>
      <c r="G231" s="636">
        <v>3.9040084733796172E-2</v>
      </c>
      <c r="H231" s="656">
        <v>0.2502469004629756</v>
      </c>
      <c r="I231" s="635">
        <v>4.9094813452750753E-3</v>
      </c>
      <c r="J231" s="635">
        <v>4.9094813452750736E-3</v>
      </c>
      <c r="K231" s="688">
        <v>8.8252152212965011E-3</v>
      </c>
      <c r="L231" s="689">
        <v>1.0469882674590283E-2</v>
      </c>
      <c r="M231" s="624">
        <v>0.2767945873066518</v>
      </c>
      <c r="N231" s="637">
        <v>5.878255547329074E-2</v>
      </c>
      <c r="O231" s="636">
        <v>0.53207707441853636</v>
      </c>
      <c r="P231" s="637">
        <v>0.64651606777836035</v>
      </c>
      <c r="Q231" s="636">
        <v>0.46629958457048626</v>
      </c>
      <c r="R231" s="637">
        <v>5.2768708598440683E-2</v>
      </c>
      <c r="S231" s="636">
        <v>1.98687720139776</v>
      </c>
      <c r="T231" s="637">
        <v>0.73804634340188002</v>
      </c>
      <c r="U231" s="636">
        <v>0.78639180561611077</v>
      </c>
      <c r="V231" s="637">
        <v>8.4343943247130529E-2</v>
      </c>
      <c r="W231" s="636">
        <v>0</v>
      </c>
      <c r="X231" s="624">
        <v>0.11372445098006978</v>
      </c>
      <c r="Y231" s="636">
        <v>5.6152951178700013E-3</v>
      </c>
      <c r="Z231" s="637">
        <v>6.2502003383714214E-2</v>
      </c>
      <c r="AA231" s="636">
        <v>0.2767945873066518</v>
      </c>
      <c r="AB231" s="637">
        <v>5.878255547329074E-2</v>
      </c>
      <c r="AC231" s="636">
        <v>0</v>
      </c>
      <c r="AD231" s="637">
        <v>0.10373231286977543</v>
      </c>
      <c r="AE231" s="636">
        <v>1.0872363550205051</v>
      </c>
      <c r="AF231" s="637">
        <v>5.0296335095016131E-2</v>
      </c>
      <c r="AG231" s="636">
        <v>0</v>
      </c>
      <c r="AH231" s="637">
        <v>0.10616957708978578</v>
      </c>
      <c r="AI231" s="636">
        <v>0.29026636507980114</v>
      </c>
      <c r="AJ231" s="637">
        <v>6.1109302042756095E-2</v>
      </c>
      <c r="AK231" s="624">
        <v>0.27984738889063293</v>
      </c>
      <c r="AL231" s="624">
        <v>6.6332548041215175E-2</v>
      </c>
      <c r="AM231" s="636">
        <v>0.53794541798475426</v>
      </c>
      <c r="AN231" s="637">
        <v>0.66055174906238134</v>
      </c>
      <c r="AO231" s="636">
        <v>0.47144246010225893</v>
      </c>
      <c r="AP231" s="637">
        <v>6.0252337860547178E-2</v>
      </c>
      <c r="AQ231" s="636">
        <v>2.0087907146879718</v>
      </c>
      <c r="AR231" s="637">
        <v>0.75309206897189795</v>
      </c>
      <c r="AS231" s="636">
        <v>0.79506501766543092</v>
      </c>
      <c r="AT231" s="637">
        <v>9.2176007877957003E-2</v>
      </c>
      <c r="AU231" s="690">
        <v>5.5526907610059691E-3</v>
      </c>
      <c r="AV231" s="637">
        <v>3.6300363500154136E-2</v>
      </c>
      <c r="AW231" s="690">
        <v>0.27984738889063293</v>
      </c>
      <c r="AX231" s="637">
        <v>6.6332548041215175E-2</v>
      </c>
      <c r="AY231" s="636">
        <v>0</v>
      </c>
      <c r="AZ231" s="691">
        <v>0.61653410544863674</v>
      </c>
      <c r="BA231" s="636">
        <v>1.0992276186469554</v>
      </c>
      <c r="BB231" s="637">
        <v>5.7752681507672314E-2</v>
      </c>
      <c r="BC231" s="636">
        <v>0</v>
      </c>
      <c r="BD231" s="637">
        <v>8.6952035849282183E-2</v>
      </c>
      <c r="BE231" s="636">
        <v>0</v>
      </c>
      <c r="BF231" s="637">
        <v>7.9481346436992686E-2</v>
      </c>
      <c r="BG231" s="636">
        <v>0.27984738889063293</v>
      </c>
      <c r="BH231" s="637">
        <v>6.6332548041215175E-2</v>
      </c>
      <c r="BI231" s="636">
        <v>0.29180228436009537</v>
      </c>
      <c r="BJ231" s="637">
        <v>3.7646617090362024E-2</v>
      </c>
      <c r="BK231" s="636">
        <v>0.56092609064987387</v>
      </c>
      <c r="BL231" s="637">
        <v>0.65725026265659325</v>
      </c>
      <c r="BM231" s="636">
        <v>0.49158217036623914</v>
      </c>
      <c r="BN231" s="637">
        <v>3.1306666467297899E-2</v>
      </c>
      <c r="BO231" s="636">
        <v>2.094604926174171</v>
      </c>
      <c r="BP231" s="637">
        <v>0.75374381163526272</v>
      </c>
      <c r="BQ231" s="636">
        <v>0.82902966966842373</v>
      </c>
      <c r="BR231" s="637">
        <v>6.4594083448520551E-2</v>
      </c>
      <c r="BS231" s="624">
        <v>5.4356204882378238E-3</v>
      </c>
      <c r="BT231" s="624">
        <v>6.3314879360343041E-3</v>
      </c>
      <c r="BU231" s="636">
        <v>0.29180228436009537</v>
      </c>
      <c r="BV231" s="637">
        <v>3.7646617090362024E-2</v>
      </c>
      <c r="BW231" s="636">
        <v>9.1215635570167841E-4</v>
      </c>
      <c r="BX231" s="691">
        <v>2.8044472236216306E-4</v>
      </c>
      <c r="BY231" s="687">
        <v>9.3415277796711794E-5</v>
      </c>
      <c r="BZ231" s="691">
        <v>7.4014557573135561E-2</v>
      </c>
      <c r="CA231" s="693">
        <v>1.5866959663392297E-3</v>
      </c>
      <c r="CB231" s="691">
        <v>7.2343875426987683E-2</v>
      </c>
      <c r="CC231" s="688">
        <v>5.3395199108694204E-2</v>
      </c>
      <c r="CD231" s="692">
        <v>3.7040043132002015E-2</v>
      </c>
      <c r="CE231" s="688">
        <v>0.32667731230447178</v>
      </c>
      <c r="CF231" s="689">
        <v>4.2959360541595035E-2</v>
      </c>
      <c r="CG231" s="692">
        <v>0.22422860809014475</v>
      </c>
      <c r="CH231" s="689">
        <v>3.7584561574030242E-2</v>
      </c>
    </row>
    <row r="232" spans="1:155" x14ac:dyDescent="0.25">
      <c r="A232" s="54" t="s">
        <v>900</v>
      </c>
      <c r="B232" s="635">
        <v>0.15197030518757776</v>
      </c>
      <c r="C232" s="636">
        <v>3.5619686259914949</v>
      </c>
      <c r="D232" s="636">
        <v>14.411585940460828</v>
      </c>
      <c r="E232" s="636">
        <v>1.6448364875930866E-2</v>
      </c>
      <c r="F232" s="636">
        <v>1.5623417361115501E-2</v>
      </c>
      <c r="G232" s="636">
        <v>1.7726157634854672E-2</v>
      </c>
      <c r="H232" s="656">
        <v>0.17896265682458298</v>
      </c>
      <c r="I232" s="635">
        <v>3.7862111784748281E-3</v>
      </c>
      <c r="J232" s="635">
        <v>3.7862111784748272E-3</v>
      </c>
      <c r="K232" s="688">
        <v>5.4247808111172642E-3</v>
      </c>
      <c r="L232" s="689">
        <v>2.6540196616651995E-2</v>
      </c>
      <c r="M232" s="624">
        <v>0.17627338442656421</v>
      </c>
      <c r="N232" s="637">
        <v>0.16357522402499383</v>
      </c>
      <c r="O232" s="636">
        <v>0.32706301557108658</v>
      </c>
      <c r="P232" s="637">
        <v>1.6618678317043247</v>
      </c>
      <c r="Q232" s="636">
        <v>0.40184797750519713</v>
      </c>
      <c r="R232" s="637">
        <v>0.15296181597206474</v>
      </c>
      <c r="S232" s="636">
        <v>0.94426547861273658</v>
      </c>
      <c r="T232" s="637">
        <v>1.7652489722198514</v>
      </c>
      <c r="U232" s="636">
        <v>0.43453473065250714</v>
      </c>
      <c r="V232" s="637">
        <v>0.13394225535309459</v>
      </c>
      <c r="W232" s="636">
        <v>0</v>
      </c>
      <c r="X232" s="624">
        <v>0.322822782952285</v>
      </c>
      <c r="Y232" s="636">
        <v>2.886200417259753E-2</v>
      </c>
      <c r="Z232" s="637">
        <v>0.17007075139396072</v>
      </c>
      <c r="AA232" s="636">
        <v>0.17627338442656421</v>
      </c>
      <c r="AB232" s="637">
        <v>0.16357522402499383</v>
      </c>
      <c r="AC232" s="636">
        <v>0</v>
      </c>
      <c r="AD232" s="637">
        <v>0.25878102173751033</v>
      </c>
      <c r="AE232" s="636">
        <v>0.49365986643862175</v>
      </c>
      <c r="AF232" s="637">
        <v>0.14713388614171286</v>
      </c>
      <c r="AG232" s="636">
        <v>0</v>
      </c>
      <c r="AH232" s="637">
        <v>0.28567653659072545</v>
      </c>
      <c r="AI232" s="636">
        <v>0.20758235081189819</v>
      </c>
      <c r="AJ232" s="637">
        <v>0.1592149841855213</v>
      </c>
      <c r="AK232" s="624">
        <v>0.17821752528721968</v>
      </c>
      <c r="AL232" s="624">
        <v>0.1912184076873347</v>
      </c>
      <c r="AM232" s="636">
        <v>0.33067023383974048</v>
      </c>
      <c r="AN232" s="637">
        <v>1.7060448002463553</v>
      </c>
      <c r="AO232" s="636">
        <v>0.40628000832698624</v>
      </c>
      <c r="AP232" s="637">
        <v>0.18048787978432551</v>
      </c>
      <c r="AQ232" s="636">
        <v>0.9546798988398707</v>
      </c>
      <c r="AR232" s="637">
        <v>1.810566760338205</v>
      </c>
      <c r="AS232" s="636">
        <v>0.43932726769934299</v>
      </c>
      <c r="AT232" s="637">
        <v>0.16125843671504592</v>
      </c>
      <c r="AU232" s="690">
        <v>2.8540224609617432E-2</v>
      </c>
      <c r="AV232" s="637">
        <v>0.10660963708967422</v>
      </c>
      <c r="AW232" s="690">
        <v>0.17821752528721968</v>
      </c>
      <c r="AX232" s="637">
        <v>0.1912184076873347</v>
      </c>
      <c r="AY232" s="636">
        <v>0</v>
      </c>
      <c r="AZ232" s="691">
        <v>1.6090532066301075</v>
      </c>
      <c r="BA232" s="636">
        <v>0.49910450188787692</v>
      </c>
      <c r="BB232" s="637">
        <v>0.17459563825837085</v>
      </c>
      <c r="BC232" s="636">
        <v>0</v>
      </c>
      <c r="BD232" s="637">
        <v>0.25765954228214694</v>
      </c>
      <c r="BE232" s="636">
        <v>0</v>
      </c>
      <c r="BF232" s="637">
        <v>0.22092721909188279</v>
      </c>
      <c r="BG232" s="636">
        <v>0.17821752528721968</v>
      </c>
      <c r="BH232" s="637">
        <v>0.1912184076873347</v>
      </c>
      <c r="BI232" s="636">
        <v>0.18583086016263509</v>
      </c>
      <c r="BJ232" s="637">
        <v>0.12023426790658266</v>
      </c>
      <c r="BK232" s="636">
        <v>0.3447962476506527</v>
      </c>
      <c r="BL232" s="637">
        <v>1.6997725150997756</v>
      </c>
      <c r="BM232" s="636">
        <v>0.42363602172463011</v>
      </c>
      <c r="BN232" s="637">
        <v>0.10904534268146553</v>
      </c>
      <c r="BO232" s="636">
        <v>0.9954631930584491</v>
      </c>
      <c r="BP232" s="637">
        <v>1.8087595478367595</v>
      </c>
      <c r="BQ232" s="636">
        <v>0.45809503817256614</v>
      </c>
      <c r="BR232" s="637">
        <v>8.8994437211802752E-2</v>
      </c>
      <c r="BS232" s="624">
        <v>2.7938496182135779E-2</v>
      </c>
      <c r="BT232" s="624">
        <v>3.201109602136442E-2</v>
      </c>
      <c r="BU232" s="636">
        <v>0.18583086016263509</v>
      </c>
      <c r="BV232" s="637">
        <v>0.12023426790658266</v>
      </c>
      <c r="BW232" s="636">
        <v>5.8089606993507771E-4</v>
      </c>
      <c r="BX232" s="691">
        <v>8.9810212694979119E-4</v>
      </c>
      <c r="BY232" s="687">
        <v>1.6672674337335836E-4</v>
      </c>
      <c r="BZ232" s="691">
        <v>0.20508250569111636</v>
      </c>
      <c r="CA232" s="693">
        <v>3.1684060385749921E-3</v>
      </c>
      <c r="CB232" s="691">
        <v>0.19846194748583235</v>
      </c>
      <c r="CC232" s="688">
        <v>0.15923146046411449</v>
      </c>
      <c r="CD232" s="692">
        <v>9.9210821571532007E-2</v>
      </c>
      <c r="CE232" s="688">
        <v>0.2770706050395943</v>
      </c>
      <c r="CF232" s="689">
        <v>0.11495151707135544</v>
      </c>
      <c r="CG232" s="692">
        <v>0.23719605080548875</v>
      </c>
      <c r="CH232" s="689">
        <v>0.10079094288898993</v>
      </c>
    </row>
    <row r="233" spans="1:155" x14ac:dyDescent="0.25">
      <c r="A233" s="54" t="s">
        <v>14</v>
      </c>
      <c r="B233" s="686">
        <v>5.0981523730945337</v>
      </c>
      <c r="C233" s="687">
        <v>140.75533438547541</v>
      </c>
      <c r="D233" s="687">
        <v>680.64975969246382</v>
      </c>
      <c r="E233" s="687">
        <v>0.59110948036267219</v>
      </c>
      <c r="F233" s="687">
        <v>0.59305470293077078</v>
      </c>
      <c r="G233" s="636">
        <v>0.63607269510834652</v>
      </c>
      <c r="H233" s="656">
        <v>3.9374813406758071</v>
      </c>
      <c r="I233" s="686">
        <v>0.22802332823836774</v>
      </c>
      <c r="J233" s="635">
        <v>0.22802332823836768</v>
      </c>
      <c r="K233" s="688">
        <v>0.21436652514708146</v>
      </c>
      <c r="L233" s="689">
        <v>1.9209222678576154</v>
      </c>
      <c r="M233" s="624">
        <v>5.9134484991555549</v>
      </c>
      <c r="N233" s="637">
        <v>27.378094628480561</v>
      </c>
      <c r="O233" s="636">
        <v>12.924275577810823</v>
      </c>
      <c r="P233" s="637">
        <v>132.71203513496664</v>
      </c>
      <c r="Q233" s="636">
        <v>18.979016636462493</v>
      </c>
      <c r="R233" s="637">
        <v>27.253242172244676</v>
      </c>
      <c r="S233" s="636">
        <v>33.934332111269896</v>
      </c>
      <c r="T233" s="637">
        <v>35.483941408921432</v>
      </c>
      <c r="U233" s="636">
        <v>16.494654123598558</v>
      </c>
      <c r="V233" s="637">
        <v>23.144955120779937</v>
      </c>
      <c r="W233" s="636">
        <v>0</v>
      </c>
      <c r="X233" s="624">
        <v>48.630089666020702</v>
      </c>
      <c r="Y233" s="636">
        <v>3.2679014538396172</v>
      </c>
      <c r="Z233" s="637">
        <v>29.681612323515267</v>
      </c>
      <c r="AA233" s="636">
        <v>5.9134484991555549</v>
      </c>
      <c r="AB233" s="637">
        <v>27.378094628480561</v>
      </c>
      <c r="AC233" s="636">
        <v>0</v>
      </c>
      <c r="AD233" s="637">
        <v>31.68281317323784</v>
      </c>
      <c r="AE233" s="636">
        <v>17.714135695996525</v>
      </c>
      <c r="AF233" s="637">
        <v>26.433905689052395</v>
      </c>
      <c r="AG233" s="636">
        <v>0</v>
      </c>
      <c r="AH233" s="637">
        <v>45.488886692090936</v>
      </c>
      <c r="AI233" s="636">
        <v>4.5671630466272459</v>
      </c>
      <c r="AJ233" s="637">
        <v>25.790770882723042</v>
      </c>
      <c r="AK233" s="624">
        <v>5.9786686507512679</v>
      </c>
      <c r="AL233" s="624">
        <v>38.719887947808765</v>
      </c>
      <c r="AM233" s="636">
        <v>13.066819004471254</v>
      </c>
      <c r="AN233" s="637">
        <v>145.21619734268029</v>
      </c>
      <c r="AO233" s="636">
        <v>19.188338547754086</v>
      </c>
      <c r="AP233" s="637">
        <v>38.593657734222596</v>
      </c>
      <c r="AQ233" s="636">
        <v>34.308598038319467</v>
      </c>
      <c r="AR233" s="637">
        <v>46.915183428889712</v>
      </c>
      <c r="AS233" s="636">
        <v>16.676575694846466</v>
      </c>
      <c r="AT233" s="637">
        <v>34.440035389781855</v>
      </c>
      <c r="AU233" s="690">
        <v>3.231467951322252</v>
      </c>
      <c r="AV233" s="637">
        <v>30.21945201557816</v>
      </c>
      <c r="AW233" s="690">
        <v>5.9786686507512679</v>
      </c>
      <c r="AX233" s="637">
        <v>38.719887947808765</v>
      </c>
      <c r="AY233" s="687">
        <v>0</v>
      </c>
      <c r="AZ233" s="691">
        <v>35.539272065439462</v>
      </c>
      <c r="BA233" s="636">
        <v>17.909507079656152</v>
      </c>
      <c r="BB233" s="637">
        <v>37.765279804060789</v>
      </c>
      <c r="BC233" s="636">
        <v>0</v>
      </c>
      <c r="BD233" s="637">
        <v>48.956785175263967</v>
      </c>
      <c r="BE233" s="636">
        <v>0</v>
      </c>
      <c r="BF233" s="637">
        <v>45.85058484154704</v>
      </c>
      <c r="BG233" s="636">
        <v>5.9786686507512679</v>
      </c>
      <c r="BH233" s="637">
        <v>38.719887947808765</v>
      </c>
      <c r="BI233" s="636">
        <v>6.2340734235083817</v>
      </c>
      <c r="BJ233" s="637">
        <v>11.259132290972721</v>
      </c>
      <c r="BK233" s="636">
        <v>13.625024874949782</v>
      </c>
      <c r="BL233" s="637">
        <v>122.30485654056875</v>
      </c>
      <c r="BM233" s="636">
        <v>20.008051686691775</v>
      </c>
      <c r="BN233" s="637">
        <v>11.127509650061437</v>
      </c>
      <c r="BO233" s="636">
        <v>35.774238667942086</v>
      </c>
      <c r="BP233" s="637">
        <v>19.804522523809275</v>
      </c>
      <c r="BQ233" s="636">
        <v>17.388987985026464</v>
      </c>
      <c r="BR233" s="637">
        <v>6.7964487511572829</v>
      </c>
      <c r="BS233" s="624">
        <v>3.163337228617594</v>
      </c>
      <c r="BT233" s="624">
        <v>2.3955663148798978</v>
      </c>
      <c r="BU233" s="636">
        <v>6.2340734235083817</v>
      </c>
      <c r="BV233" s="637">
        <v>11.259132290972721</v>
      </c>
      <c r="BW233" s="687">
        <v>1.9487337830936206E-2</v>
      </c>
      <c r="BX233" s="691">
        <v>9.7322726783139551E-2</v>
      </c>
      <c r="BY233" s="687">
        <v>5.0638883295831043E-2</v>
      </c>
      <c r="BZ233" s="691">
        <v>38.589502446961973</v>
      </c>
      <c r="CA233" s="693">
        <v>0.88897672791640048</v>
      </c>
      <c r="CB233" s="691">
        <v>32.97554745841876</v>
      </c>
      <c r="CC233" s="688">
        <v>19.752233014762137</v>
      </c>
      <c r="CD233" s="692">
        <v>30.527378317066958</v>
      </c>
      <c r="CE233" s="688">
        <v>15.263642133561907</v>
      </c>
      <c r="CF233" s="689">
        <v>37.60113760422967</v>
      </c>
      <c r="CG233" s="692">
        <v>17.597786227706482</v>
      </c>
      <c r="CH233" s="689">
        <v>24.256913661007033</v>
      </c>
    </row>
    <row r="234" spans="1:155" x14ac:dyDescent="0.25">
      <c r="A234" s="54" t="s">
        <v>10</v>
      </c>
      <c r="B234" s="686">
        <v>19.662826099943207</v>
      </c>
      <c r="C234" s="687">
        <v>465.42698516614462</v>
      </c>
      <c r="D234" s="687">
        <v>1429.2131854172553</v>
      </c>
      <c r="E234" s="687">
        <v>1.6144384543244481</v>
      </c>
      <c r="F234" s="687">
        <v>2.5236373266476586</v>
      </c>
      <c r="G234" s="636">
        <v>1.0733654384882885</v>
      </c>
      <c r="H234" s="656">
        <v>19.699065552667406</v>
      </c>
      <c r="I234" s="686">
        <v>0.37942953024671566</v>
      </c>
      <c r="J234" s="635">
        <v>0.37942953024671555</v>
      </c>
      <c r="K234" s="688">
        <v>0.70883257075366779</v>
      </c>
      <c r="L234" s="689">
        <v>1.747572139725734E-3</v>
      </c>
      <c r="M234" s="624">
        <v>22.807303701534494</v>
      </c>
      <c r="N234" s="637">
        <v>0.16894946361812777</v>
      </c>
      <c r="O234" s="636">
        <v>42.735905135668126</v>
      </c>
      <c r="P234" s="637">
        <v>0.16543102105324081</v>
      </c>
      <c r="Q234" s="636">
        <v>39.851715859477402</v>
      </c>
      <c r="R234" s="637">
        <v>0.16701635844387983</v>
      </c>
      <c r="S234" s="636">
        <v>92.681461729624203</v>
      </c>
      <c r="T234" s="637">
        <v>4.5481262238865288</v>
      </c>
      <c r="U234" s="636">
        <v>70.190025693658896</v>
      </c>
      <c r="V234" s="637">
        <v>0.12923974464938356</v>
      </c>
      <c r="W234" s="636">
        <v>0</v>
      </c>
      <c r="X234" s="624">
        <v>0.36656382514091174</v>
      </c>
      <c r="Y234" s="636">
        <v>2.9782223388141876E-2</v>
      </c>
      <c r="Z234" s="637">
        <v>0.19079427753034323</v>
      </c>
      <c r="AA234" s="636">
        <v>22.807303701534494</v>
      </c>
      <c r="AB234" s="637">
        <v>0.16894946361812777</v>
      </c>
      <c r="AC234" s="636">
        <v>0</v>
      </c>
      <c r="AD234" s="637">
        <v>0.22480821742915064</v>
      </c>
      <c r="AE234" s="636">
        <v>29.892402511533088</v>
      </c>
      <c r="AF234" s="637">
        <v>0.16070555716993243</v>
      </c>
      <c r="AG234" s="636">
        <v>0</v>
      </c>
      <c r="AH234" s="637">
        <v>0.32456475297942822</v>
      </c>
      <c r="AI234" s="636">
        <v>22.849338564684739</v>
      </c>
      <c r="AJ234" s="637">
        <v>0.169310616647393</v>
      </c>
      <c r="AK234" s="624">
        <v>23.058848262227968</v>
      </c>
      <c r="AL234" s="624">
        <v>0.31283018052773126</v>
      </c>
      <c r="AM234" s="636">
        <v>43.207244695305178</v>
      </c>
      <c r="AN234" s="637">
        <v>0.30927291165336285</v>
      </c>
      <c r="AO234" s="636">
        <v>40.291245340469004</v>
      </c>
      <c r="AP234" s="637">
        <v>0.31087574337537899</v>
      </c>
      <c r="AQ234" s="636">
        <v>93.703656982526397</v>
      </c>
      <c r="AR234" s="637">
        <v>4.7403315244811308</v>
      </c>
      <c r="AS234" s="636">
        <v>70.964160129242657</v>
      </c>
      <c r="AT234" s="637">
        <v>0.27268226147197</v>
      </c>
      <c r="AU234" s="690">
        <v>2.9450184394276345E-2</v>
      </c>
      <c r="AV234" s="637">
        <v>0.23385577427030768</v>
      </c>
      <c r="AW234" s="690">
        <v>23.058848262227968</v>
      </c>
      <c r="AX234" s="637">
        <v>0.31283018052773126</v>
      </c>
      <c r="AY234" s="687">
        <v>0</v>
      </c>
      <c r="AZ234" s="637">
        <v>0.31659596312088817</v>
      </c>
      <c r="BA234" s="636">
        <v>30.222089499361033</v>
      </c>
      <c r="BB234" s="637">
        <v>0.30449530187885615</v>
      </c>
      <c r="BC234" s="636">
        <v>0</v>
      </c>
      <c r="BD234" s="637">
        <v>0.40766670975474206</v>
      </c>
      <c r="BE234" s="636">
        <v>0</v>
      </c>
      <c r="BF234" s="637">
        <v>0.36613563613532751</v>
      </c>
      <c r="BG234" s="636">
        <v>23.058848262227968</v>
      </c>
      <c r="BH234" s="637">
        <v>0.31283018052773126</v>
      </c>
      <c r="BI234" s="636">
        <v>24.043907017694373</v>
      </c>
      <c r="BJ234" s="637">
        <v>0.10714563162294956</v>
      </c>
      <c r="BK234" s="636">
        <v>45.053029627955475</v>
      </c>
      <c r="BL234" s="637">
        <v>0.10343639981248275</v>
      </c>
      <c r="BM234" s="636">
        <v>42.012460708206518</v>
      </c>
      <c r="BN234" s="637">
        <v>0.105107702887987</v>
      </c>
      <c r="BO234" s="636">
        <v>97.706615269088303</v>
      </c>
      <c r="BP234" s="637">
        <v>4.7237853644834136</v>
      </c>
      <c r="BQ234" s="636">
        <v>73.99570214143148</v>
      </c>
      <c r="BR234" s="637">
        <v>6.528263398487498E-2</v>
      </c>
      <c r="BS234" s="624">
        <v>2.8829270810483421E-2</v>
      </c>
      <c r="BT234" s="624">
        <v>2.4797518436036208E-2</v>
      </c>
      <c r="BU234" s="636">
        <v>24.043907017694373</v>
      </c>
      <c r="BV234" s="637">
        <v>0.10714563162294956</v>
      </c>
      <c r="BW234" s="687">
        <v>7.5159804352406698E-2</v>
      </c>
      <c r="BX234" s="637">
        <v>6.7524255911167194E-4</v>
      </c>
      <c r="BY234" s="687">
        <v>1.6459135295696512E-4</v>
      </c>
      <c r="BZ234" s="637">
        <v>0.33987549933154049</v>
      </c>
      <c r="CA234" s="693">
        <v>1.4495233795765298E-3</v>
      </c>
      <c r="CB234" s="637">
        <v>0.30164384026056612</v>
      </c>
      <c r="CC234" s="688">
        <v>0.183225332492295</v>
      </c>
      <c r="CD234" s="692">
        <v>0.18409069406528772</v>
      </c>
      <c r="CE234" s="688">
        <v>24.392164213480768</v>
      </c>
      <c r="CF234" s="689">
        <v>0.22830240699210536</v>
      </c>
      <c r="CG234" s="692">
        <v>15.17307040827755</v>
      </c>
      <c r="CH234" s="689">
        <v>0.19626699198077407</v>
      </c>
    </row>
    <row r="235" spans="1:155" x14ac:dyDescent="0.25">
      <c r="A235" s="54" t="s">
        <v>8</v>
      </c>
      <c r="B235" s="629">
        <v>2820.9435905861014</v>
      </c>
      <c r="C235" s="631">
        <v>72011.794567175762</v>
      </c>
      <c r="D235" s="631">
        <v>289903.03316527203</v>
      </c>
      <c r="E235" s="631">
        <v>306.25626844181062</v>
      </c>
      <c r="F235" s="631">
        <v>285.98122525396963</v>
      </c>
      <c r="G235" s="631">
        <v>336.07172499026188</v>
      </c>
      <c r="H235" s="669">
        <v>2344.9711354533465</v>
      </c>
      <c r="I235" s="629">
        <v>108.17798787771898</v>
      </c>
      <c r="J235" s="629">
        <v>108.17798787771895</v>
      </c>
      <c r="K235" s="616">
        <v>109.67199387765362</v>
      </c>
      <c r="L235" s="689">
        <v>89.115963658440052</v>
      </c>
      <c r="M235" s="633">
        <v>3272.0686674628232</v>
      </c>
      <c r="N235" s="632">
        <v>17261.74053582858</v>
      </c>
      <c r="O235" s="631">
        <v>6612.1847665825962</v>
      </c>
      <c r="P235" s="632">
        <v>7591.7734394640556</v>
      </c>
      <c r="Q235" s="631">
        <v>8083.5619363042506</v>
      </c>
      <c r="R235" s="632">
        <v>6874.1678493428981</v>
      </c>
      <c r="S235" s="631">
        <v>17581.517924710493</v>
      </c>
      <c r="T235" s="632">
        <v>6621.1793989386379</v>
      </c>
      <c r="U235" s="631">
        <v>7954.0072325466526</v>
      </c>
      <c r="V235" s="632">
        <v>5833.3226343015494</v>
      </c>
      <c r="W235" s="631">
        <v>0</v>
      </c>
      <c r="X235" s="633">
        <v>14431.89104573523</v>
      </c>
      <c r="Y235" s="631">
        <v>1693.3051619254049</v>
      </c>
      <c r="Z235" s="632">
        <v>7536.4788333830047</v>
      </c>
      <c r="AA235" s="631">
        <v>3272.0686674628232</v>
      </c>
      <c r="AB235" s="632">
        <v>17261.74053582858</v>
      </c>
      <c r="AC235" s="631">
        <v>0</v>
      </c>
      <c r="AD235" s="632">
        <v>9187.9061954443841</v>
      </c>
      <c r="AE235" s="631">
        <v>9359.3392482459476</v>
      </c>
      <c r="AF235" s="632">
        <v>6653.6847477963092</v>
      </c>
      <c r="AG235" s="631">
        <v>0</v>
      </c>
      <c r="AH235" s="632">
        <v>13892.747906542118</v>
      </c>
      <c r="AI235" s="631">
        <v>2719.9787347847791</v>
      </c>
      <c r="AJ235" s="632">
        <v>16523.640279943975</v>
      </c>
      <c r="AK235" s="633">
        <v>3308.1567156725923</v>
      </c>
      <c r="AL235" s="633">
        <v>23368.836660936762</v>
      </c>
      <c r="AM235" s="631">
        <v>6685.1113665042758</v>
      </c>
      <c r="AN235" s="632">
        <v>13805.777678845256</v>
      </c>
      <c r="AO235" s="631">
        <v>8172.7165361953957</v>
      </c>
      <c r="AP235" s="632">
        <v>13080.253250711605</v>
      </c>
      <c r="AQ235" s="631">
        <v>17775.426650641919</v>
      </c>
      <c r="AR235" s="632">
        <v>12824.473051489664</v>
      </c>
      <c r="AS235" s="631">
        <v>8041.7329576585198</v>
      </c>
      <c r="AT235" s="632">
        <v>12027.922221223636</v>
      </c>
      <c r="AU235" s="633">
        <v>1674.4266740789642</v>
      </c>
      <c r="AV235" s="632">
        <v>10096.625661043086</v>
      </c>
      <c r="AW235" s="633">
        <v>3308.1567156725923</v>
      </c>
      <c r="AX235" s="632">
        <v>23368.836660936762</v>
      </c>
      <c r="AY235" s="631">
        <v>0</v>
      </c>
      <c r="AZ235" s="632">
        <v>13848.843534878566</v>
      </c>
      <c r="BA235" s="631">
        <v>9462.5645531916962</v>
      </c>
      <c r="BB235" s="632">
        <v>12857.33709960454</v>
      </c>
      <c r="BC235" s="631">
        <v>0</v>
      </c>
      <c r="BD235" s="632">
        <v>16915.201822114523</v>
      </c>
      <c r="BE235" s="631">
        <v>0</v>
      </c>
      <c r="BF235" s="632">
        <v>16382.066391904571</v>
      </c>
      <c r="BG235" s="631">
        <v>3308.1567156725923</v>
      </c>
      <c r="BH235" s="632">
        <v>23368.836660936762</v>
      </c>
      <c r="BI235" s="631">
        <v>3449.478983817542</v>
      </c>
      <c r="BJ235" s="632">
        <v>5173.2565391161361</v>
      </c>
      <c r="BK235" s="631">
        <v>6970.6949051075517</v>
      </c>
      <c r="BL235" s="632">
        <v>5124.0511775452715</v>
      </c>
      <c r="BM235" s="631">
        <v>8521.8495843152305</v>
      </c>
      <c r="BN235" s="632">
        <v>4367.5330780856193</v>
      </c>
      <c r="BO235" s="631">
        <v>18534.781127294085</v>
      </c>
      <c r="BP235" s="632">
        <v>4100.8262069020229</v>
      </c>
      <c r="BQ235" s="631">
        <v>8385.270473885661</v>
      </c>
      <c r="BR235" s="632">
        <v>3270.2475290951129</v>
      </c>
      <c r="BS235" s="633">
        <v>1639.1238639816904</v>
      </c>
      <c r="BT235" s="633">
        <v>1256.4479290469028</v>
      </c>
      <c r="BU235" s="631">
        <v>3449.478983817542</v>
      </c>
      <c r="BV235" s="632">
        <v>5173.2565391161361</v>
      </c>
      <c r="BW235" s="631">
        <v>10.78286342359705</v>
      </c>
      <c r="BX235" s="632">
        <v>31.030162503701089</v>
      </c>
      <c r="BY235" s="630">
        <v>41.549638745642326</v>
      </c>
      <c r="BZ235" s="632">
        <v>12791.358530664535</v>
      </c>
      <c r="CA235" s="693">
        <v>89.729528691624367</v>
      </c>
      <c r="CB235" s="632">
        <v>10907.287050114201</v>
      </c>
      <c r="CC235" s="688">
        <v>7187.901502021633</v>
      </c>
      <c r="CD235" s="692">
        <v>7784.7933698231463</v>
      </c>
      <c r="CE235" s="688">
        <v>17478.59295689375</v>
      </c>
      <c r="CF235" s="689">
        <v>9953.2785112191686</v>
      </c>
      <c r="CG235" s="692">
        <v>13784.284260469476</v>
      </c>
      <c r="CH235" s="689">
        <v>8013.7839245779815</v>
      </c>
    </row>
    <row r="236" spans="1:155" x14ac:dyDescent="0.25">
      <c r="A236" s="54" t="s">
        <v>2353</v>
      </c>
      <c r="B236" s="629">
        <v>2840.8357090661002</v>
      </c>
      <c r="C236" s="631">
        <v>72448.314155527507</v>
      </c>
      <c r="D236" s="631">
        <v>292200.09273657954</v>
      </c>
      <c r="E236" s="631">
        <v>308.35232351353341</v>
      </c>
      <c r="F236" s="631">
        <v>288.08512510896151</v>
      </c>
      <c r="G236" s="631">
        <v>338.45885708026088</v>
      </c>
      <c r="H236" s="669">
        <v>2365.5419821342875</v>
      </c>
      <c r="I236" s="629">
        <v>109.41579245075272</v>
      </c>
      <c r="J236" s="629">
        <v>109.41579245075269</v>
      </c>
      <c r="K236" s="688">
        <v>110.33680127356612</v>
      </c>
      <c r="L236" s="689">
        <v>89.440489130040845</v>
      </c>
      <c r="M236" s="633">
        <v>3295.1419319637766</v>
      </c>
      <c r="N236" s="632">
        <v>17330.693938175358</v>
      </c>
      <c r="O236" s="631">
        <v>6652.2663697388944</v>
      </c>
      <c r="P236" s="632">
        <v>7624.6128156065888</v>
      </c>
      <c r="Q236" s="631">
        <v>8147.6123986719867</v>
      </c>
      <c r="R236" s="632">
        <v>7096.0263595054621</v>
      </c>
      <c r="S236" s="631">
        <v>17701.847967266593</v>
      </c>
      <c r="T236" s="632">
        <v>7036.9151715092194</v>
      </c>
      <c r="U236" s="631">
        <v>8012.523083187888</v>
      </c>
      <c r="V236" s="632">
        <v>5933.5070300762454</v>
      </c>
      <c r="W236" s="631">
        <v>0</v>
      </c>
      <c r="X236" s="633">
        <v>14466.538633430946</v>
      </c>
      <c r="Y236" s="631">
        <v>1695.9687040938159</v>
      </c>
      <c r="Z236" s="632">
        <v>7569.6531109186108</v>
      </c>
      <c r="AA236" s="631">
        <v>3295.1419319637762</v>
      </c>
      <c r="AB236" s="632">
        <v>17330.693938175358</v>
      </c>
      <c r="AC236" s="631">
        <v>0</v>
      </c>
      <c r="AD236" s="632">
        <v>9212.2748478140675</v>
      </c>
      <c r="AE236" s="631">
        <v>9425.8190422878961</v>
      </c>
      <c r="AF236" s="632">
        <v>6752.2341486650457</v>
      </c>
      <c r="AG236" s="631">
        <v>0</v>
      </c>
      <c r="AH236" s="632">
        <v>13930.813176172211</v>
      </c>
      <c r="AI236" s="616">
        <v>2743.8392696471237</v>
      </c>
      <c r="AJ236" s="617">
        <v>16592.401156051201</v>
      </c>
      <c r="AK236" s="633">
        <v>3331.4844580486424</v>
      </c>
      <c r="AL236" s="633">
        <v>23440.774409981805</v>
      </c>
      <c r="AM236" s="631">
        <v>6725.6350345968667</v>
      </c>
      <c r="AN236" s="632">
        <v>13841.202880370964</v>
      </c>
      <c r="AO236" s="631">
        <v>8237.4734189988558</v>
      </c>
      <c r="AP236" s="632">
        <v>13306.783428291146</v>
      </c>
      <c r="AQ236" s="631">
        <v>17897.08382805311</v>
      </c>
      <c r="AR236" s="632">
        <v>13247.019943366186</v>
      </c>
      <c r="AS236" s="631">
        <v>8100.8941868212933</v>
      </c>
      <c r="AT236" s="632">
        <v>12131.435600334506</v>
      </c>
      <c r="AU236" s="633">
        <v>1677.0605206853552</v>
      </c>
      <c r="AV236" s="632">
        <v>10114.664490081072</v>
      </c>
      <c r="AW236" s="633">
        <v>3331.4844580486424</v>
      </c>
      <c r="AX236" s="632">
        <v>23440.774409981805</v>
      </c>
      <c r="AY236" s="631">
        <v>0</v>
      </c>
      <c r="AZ236" s="632">
        <v>13881.915267285956</v>
      </c>
      <c r="BA236" s="631">
        <v>9529.7775610675144</v>
      </c>
      <c r="BB236" s="632">
        <v>12959.197441503218</v>
      </c>
      <c r="BC236" s="631">
        <v>0</v>
      </c>
      <c r="BD236" s="632">
        <v>16945.469992563892</v>
      </c>
      <c r="BE236" s="631">
        <v>0</v>
      </c>
      <c r="BF236" s="632">
        <v>16415.714160824082</v>
      </c>
      <c r="BG236" s="631">
        <v>3331.4844580486424</v>
      </c>
      <c r="BH236" s="632">
        <v>23440.774409981805</v>
      </c>
      <c r="BI236" s="631">
        <v>3473.8032719278572</v>
      </c>
      <c r="BJ236" s="632">
        <v>5476.5351841395177</v>
      </c>
      <c r="BK236" s="631">
        <v>7012.9497175142151</v>
      </c>
      <c r="BL236" s="632">
        <v>5603.9882159313083</v>
      </c>
      <c r="BM236" s="631">
        <v>8589.3728383466369</v>
      </c>
      <c r="BN236" s="632">
        <v>5046.7389042276154</v>
      </c>
      <c r="BO236" s="631">
        <v>18661.635418906793</v>
      </c>
      <c r="BP236" s="632">
        <v>4984.4223835436433</v>
      </c>
      <c r="BQ236" s="631">
        <v>8446.9590316516769</v>
      </c>
      <c r="BR236" s="632">
        <v>3821.1814032939742</v>
      </c>
      <c r="BS236" s="633">
        <v>1641.7021798276066</v>
      </c>
      <c r="BT236" s="633">
        <v>1718.2558666599371</v>
      </c>
      <c r="BU236" s="631">
        <v>3473.8032719278572</v>
      </c>
      <c r="BV236" s="632">
        <v>5476.5351841395177</v>
      </c>
      <c r="BW236" s="631">
        <v>10.858899682348069</v>
      </c>
      <c r="BX236" s="632">
        <v>31.265817649910726</v>
      </c>
      <c r="BY236" s="631">
        <v>41.715104172691653</v>
      </c>
      <c r="BZ236" s="632">
        <v>12815.693128253864</v>
      </c>
      <c r="CA236" s="631">
        <v>90.058874240809445</v>
      </c>
      <c r="CB236" s="632">
        <v>10929.503682821738</v>
      </c>
      <c r="CC236" s="688">
        <v>7200.7932406226446</v>
      </c>
      <c r="CD236" s="692">
        <v>7801.3401259712509</v>
      </c>
      <c r="CE236" s="688">
        <v>17560.003673044223</v>
      </c>
      <c r="CF236" s="689">
        <v>9973.2951399967023</v>
      </c>
      <c r="CG236" s="692">
        <v>13839.992747446397</v>
      </c>
      <c r="CH236" s="689">
        <v>8025.9752749868721</v>
      </c>
    </row>
    <row r="237" spans="1:155" x14ac:dyDescent="0.25">
      <c r="A237" s="240" t="s">
        <v>897</v>
      </c>
      <c r="B237" s="694">
        <v>8360.7121750688129</v>
      </c>
      <c r="C237" s="695">
        <v>203704.39007057215</v>
      </c>
      <c r="D237" s="695">
        <v>702658.65519432561</v>
      </c>
      <c r="E237" s="695">
        <v>766.70908405891532</v>
      </c>
      <c r="F237" s="695">
        <v>994.71114543110923</v>
      </c>
      <c r="G237" s="640">
        <v>650.44258810179235</v>
      </c>
      <c r="H237" s="673">
        <v>7860.7238219646288</v>
      </c>
      <c r="I237" s="694">
        <v>219.79514938960943</v>
      </c>
      <c r="J237" s="639">
        <v>219.79514938960938</v>
      </c>
      <c r="K237" s="696">
        <v>310.23621553870043</v>
      </c>
      <c r="L237" s="697">
        <v>147.16105990634293</v>
      </c>
      <c r="M237" s="642">
        <v>9697.7566077575284</v>
      </c>
      <c r="N237" s="641">
        <v>18192.684361671829</v>
      </c>
      <c r="O237" s="640">
        <v>18704.311883995055</v>
      </c>
      <c r="P237" s="641">
        <v>11624.594131376129</v>
      </c>
      <c r="Q237" s="640">
        <v>19592.7055240759</v>
      </c>
      <c r="R237" s="641">
        <v>7953.7684420935329</v>
      </c>
      <c r="S237" s="640">
        <v>44015.130116369837</v>
      </c>
      <c r="T237" s="641">
        <v>9335.9750846161005</v>
      </c>
      <c r="U237" s="640">
        <v>27665.940790440003</v>
      </c>
      <c r="V237" s="641">
        <v>6658.5091429647691</v>
      </c>
      <c r="W237" s="640">
        <v>0</v>
      </c>
      <c r="X237" s="642">
        <v>16015.787229741833</v>
      </c>
      <c r="Y237" s="640">
        <v>1801.4827144031992</v>
      </c>
      <c r="Z237" s="641">
        <v>8506.2519959251495</v>
      </c>
      <c r="AA237" s="640">
        <v>9697.7566077575284</v>
      </c>
      <c r="AB237" s="641">
        <v>18192.684361671829</v>
      </c>
      <c r="AC237" s="640">
        <v>0</v>
      </c>
      <c r="AD237" s="641">
        <v>10217.795323734714</v>
      </c>
      <c r="AE237" s="640">
        <v>18114.326171677123</v>
      </c>
      <c r="AF237" s="641">
        <v>7583.8371553061988</v>
      </c>
      <c r="AG237" s="640">
        <v>0</v>
      </c>
      <c r="AH237" s="641">
        <v>15374.988177159905</v>
      </c>
      <c r="AI237" s="620">
        <v>9117.8101565955494</v>
      </c>
      <c r="AJ237" s="621">
        <v>17407.187926701085</v>
      </c>
      <c r="AK237" s="642">
        <v>9804.7143594292647</v>
      </c>
      <c r="AL237" s="642">
        <v>24680.029710110575</v>
      </c>
      <c r="AM237" s="640">
        <v>18910.604042748422</v>
      </c>
      <c r="AN237" s="641">
        <v>18253.077066064205</v>
      </c>
      <c r="AO237" s="640">
        <v>19808.795885669966</v>
      </c>
      <c r="AP237" s="641">
        <v>14541.743506712459</v>
      </c>
      <c r="AQ237" s="640">
        <v>44500.578405824737</v>
      </c>
      <c r="AR237" s="641">
        <v>15939.202915730448</v>
      </c>
      <c r="AS237" s="640">
        <v>27971.071857810963</v>
      </c>
      <c r="AT237" s="641">
        <v>13232.190912331853</v>
      </c>
      <c r="AU237" s="698">
        <v>1781.3981659743959</v>
      </c>
      <c r="AV237" s="641">
        <v>11079.046786521094</v>
      </c>
      <c r="AW237" s="698">
        <v>9804.7143594292647</v>
      </c>
      <c r="AX237" s="641">
        <v>24680.029710110575</v>
      </c>
      <c r="AY237" s="695">
        <v>0</v>
      </c>
      <c r="AZ237" s="699">
        <v>15027.416272768054</v>
      </c>
      <c r="BA237" s="640">
        <v>18314.11130536683</v>
      </c>
      <c r="BB237" s="641">
        <v>14167.729997077156</v>
      </c>
      <c r="BC237" s="640">
        <v>0</v>
      </c>
      <c r="BD237" s="641">
        <v>18515.675202549803</v>
      </c>
      <c r="BE237" s="640">
        <v>0</v>
      </c>
      <c r="BF237" s="641">
        <v>17882.016617767127</v>
      </c>
      <c r="BG237" s="640">
        <v>9804.7143594292647</v>
      </c>
      <c r="BH237" s="641">
        <v>24680.029710110575</v>
      </c>
      <c r="BI237" s="640">
        <v>10223.565275778972</v>
      </c>
      <c r="BJ237" s="641">
        <v>5841.3080838435699</v>
      </c>
      <c r="BK237" s="640">
        <v>19718.45254721956</v>
      </c>
      <c r="BL237" s="641">
        <v>9276.9110779890652</v>
      </c>
      <c r="BM237" s="640">
        <v>20655.014551950429</v>
      </c>
      <c r="BN237" s="641">
        <v>5407.0330946878667</v>
      </c>
      <c r="BO237" s="640">
        <v>46401.613699672569</v>
      </c>
      <c r="BP237" s="641">
        <v>6864.1905592571311</v>
      </c>
      <c r="BQ237" s="640">
        <v>29165.977558216258</v>
      </c>
      <c r="BR237" s="641">
        <v>4041.537735156332</v>
      </c>
      <c r="BS237" s="642">
        <v>1743.8400201716729</v>
      </c>
      <c r="BT237" s="642">
        <v>1796.4134653763958</v>
      </c>
      <c r="BU237" s="640">
        <v>10223.565275778972</v>
      </c>
      <c r="BV237" s="641">
        <v>5841.3080838435699</v>
      </c>
      <c r="BW237" s="695">
        <v>31.958248937916998</v>
      </c>
      <c r="BX237" s="699">
        <v>34.350376126685774</v>
      </c>
      <c r="BY237" s="695">
        <v>43.269076334264668</v>
      </c>
      <c r="BZ237" s="699">
        <v>14058.446312490842</v>
      </c>
      <c r="CA237" s="695">
        <v>116.94610061534257</v>
      </c>
      <c r="CB237" s="699">
        <v>11994.523765473752</v>
      </c>
      <c r="CC237" s="696">
        <v>7839.4303002329525</v>
      </c>
      <c r="CD237" s="700">
        <v>8761.3127592996698</v>
      </c>
      <c r="CE237" s="696">
        <v>24673.921038904617</v>
      </c>
      <c r="CF237" s="697">
        <v>11156.135597711591</v>
      </c>
      <c r="CG237" s="700">
        <v>18506.65499849182</v>
      </c>
      <c r="CH237" s="697">
        <v>8802.4121908956331</v>
      </c>
    </row>
    <row r="239" spans="1:155" ht="15.75" x14ac:dyDescent="0.25">
      <c r="A239" s="625" t="s">
        <v>2376</v>
      </c>
    </row>
    <row r="240" spans="1:155" ht="63.75" customHeight="1" x14ac:dyDescent="0.25">
      <c r="A240" s="701"/>
      <c r="B240" s="1150" t="s">
        <v>2201</v>
      </c>
      <c r="C240" s="1151"/>
      <c r="D240" s="1150" t="s">
        <v>2488</v>
      </c>
      <c r="E240" s="1151"/>
      <c r="F240" s="1150" t="s">
        <v>2489</v>
      </c>
      <c r="G240" s="1151"/>
      <c r="H240" s="1150" t="s">
        <v>2490</v>
      </c>
      <c r="I240" s="1151"/>
      <c r="J240" s="1150" t="s">
        <v>2491</v>
      </c>
      <c r="K240" s="1151"/>
      <c r="L240" s="1150" t="s">
        <v>2492</v>
      </c>
      <c r="M240" s="1151"/>
      <c r="N240" s="1150" t="s">
        <v>2493</v>
      </c>
      <c r="O240" s="1151"/>
      <c r="P240" s="1150" t="s">
        <v>2212</v>
      </c>
      <c r="Q240" s="1151"/>
      <c r="R240" s="1150" t="s">
        <v>2209</v>
      </c>
      <c r="S240" s="1151"/>
      <c r="T240" s="1150" t="s">
        <v>2494</v>
      </c>
      <c r="U240" s="1151"/>
      <c r="V240" s="1150" t="s">
        <v>2495</v>
      </c>
      <c r="W240" s="1151"/>
      <c r="X240" s="1150" t="s">
        <v>2496</v>
      </c>
      <c r="Y240" s="1151"/>
      <c r="Z240" s="1150" t="s">
        <v>2497</v>
      </c>
      <c r="AA240" s="1151"/>
      <c r="AB240" s="1150" t="s">
        <v>2213</v>
      </c>
      <c r="AC240" s="1151"/>
      <c r="AD240" s="1150" t="s">
        <v>2498</v>
      </c>
      <c r="AE240" s="1151"/>
      <c r="AF240" s="1150" t="s">
        <v>2499</v>
      </c>
      <c r="AG240" s="1151"/>
      <c r="AH240" s="1150" t="s">
        <v>2500</v>
      </c>
      <c r="AI240" s="1151"/>
      <c r="AJ240" s="1150" t="s">
        <v>2501</v>
      </c>
      <c r="AK240" s="1151"/>
      <c r="AL240" s="1150" t="s">
        <v>2502</v>
      </c>
      <c r="AM240" s="1151"/>
      <c r="AN240" s="1150" t="s">
        <v>2503</v>
      </c>
      <c r="AO240" s="1151"/>
      <c r="AP240" s="1150" t="s">
        <v>2504</v>
      </c>
      <c r="AQ240" s="1151"/>
      <c r="AR240" s="1150" t="s">
        <v>2505</v>
      </c>
      <c r="AS240" s="1151"/>
      <c r="AT240" s="1150" t="s">
        <v>2581</v>
      </c>
      <c r="AU240" s="1151"/>
      <c r="AV240" s="1150" t="s">
        <v>2586</v>
      </c>
      <c r="AW240" s="1151"/>
      <c r="AX240" s="1150" t="s">
        <v>2606</v>
      </c>
      <c r="AY240" s="1151"/>
      <c r="AZ240" s="1150" t="s">
        <v>2506</v>
      </c>
      <c r="BA240" s="1151"/>
      <c r="BB240" s="1150" t="s">
        <v>2603</v>
      </c>
      <c r="BC240" s="1151"/>
      <c r="BD240" s="1150" t="s">
        <v>2607</v>
      </c>
      <c r="BE240" s="1151"/>
      <c r="BF240" s="1150" t="s">
        <v>2608</v>
      </c>
      <c r="BG240" s="1151"/>
      <c r="BH240" s="1150" t="s">
        <v>2609</v>
      </c>
      <c r="BI240" s="1151"/>
      <c r="BJ240" s="1150" t="s">
        <v>2507</v>
      </c>
      <c r="BK240" s="1151"/>
      <c r="BL240" s="1150" t="s">
        <v>2508</v>
      </c>
      <c r="BM240" s="1151"/>
      <c r="BN240" s="1150" t="s">
        <v>2509</v>
      </c>
      <c r="BO240" s="1151"/>
      <c r="BP240" s="1150" t="s">
        <v>2510</v>
      </c>
      <c r="BQ240" s="1151"/>
      <c r="BR240" s="1150" t="s">
        <v>2511</v>
      </c>
      <c r="BS240" s="1151"/>
      <c r="BT240" s="1150" t="s">
        <v>2512</v>
      </c>
      <c r="BU240" s="1151"/>
      <c r="BV240" s="1150" t="s">
        <v>2513</v>
      </c>
      <c r="BW240" s="1151"/>
      <c r="BX240" s="1150" t="s">
        <v>2514</v>
      </c>
      <c r="BY240" s="1151"/>
      <c r="BZ240" s="1150" t="s">
        <v>2515</v>
      </c>
      <c r="CA240" s="1151"/>
      <c r="CB240" s="1150" t="s">
        <v>2516</v>
      </c>
      <c r="CC240" s="1151"/>
      <c r="CD240" s="1150" t="s">
        <v>2517</v>
      </c>
      <c r="CE240" s="1152"/>
      <c r="CF240" s="1150" t="s">
        <v>2518</v>
      </c>
      <c r="CG240" s="1151"/>
      <c r="CH240" s="1150" t="s">
        <v>2519</v>
      </c>
      <c r="CI240" s="1151"/>
      <c r="CJ240" s="1150" t="s">
        <v>2520</v>
      </c>
      <c r="CK240" s="1151"/>
      <c r="CL240" s="1150" t="s">
        <v>2521</v>
      </c>
      <c r="CM240" s="1151"/>
      <c r="CN240" s="1150" t="s">
        <v>2522</v>
      </c>
      <c r="CO240" s="1151"/>
      <c r="CP240" s="1150" t="s">
        <v>2523</v>
      </c>
      <c r="CQ240" s="1151"/>
      <c r="CR240" s="1150" t="s">
        <v>2581</v>
      </c>
      <c r="CS240" s="1151"/>
      <c r="CT240" s="1150" t="s">
        <v>2582</v>
      </c>
      <c r="CU240" s="1151"/>
      <c r="CV240" s="1150" t="s">
        <v>2583</v>
      </c>
      <c r="CW240" s="1151"/>
      <c r="CX240" s="1150" t="s">
        <v>2584</v>
      </c>
      <c r="CY240" s="1151"/>
      <c r="CZ240" s="1150" t="s">
        <v>2585</v>
      </c>
      <c r="DA240" s="1151"/>
      <c r="DB240" s="1150" t="s">
        <v>2586</v>
      </c>
      <c r="DC240" s="1151"/>
      <c r="DD240" s="1150" t="s">
        <v>2587</v>
      </c>
      <c r="DE240" s="1151"/>
      <c r="DF240" s="1150" t="s">
        <v>2588</v>
      </c>
      <c r="DG240" s="1151"/>
      <c r="DH240" s="1150" t="s">
        <v>2589</v>
      </c>
      <c r="DI240" s="1151"/>
      <c r="DJ240" s="1150" t="s">
        <v>2590</v>
      </c>
      <c r="DK240" s="1151"/>
      <c r="DL240" s="1150" t="s">
        <v>2591</v>
      </c>
      <c r="DM240" s="1151"/>
      <c r="DN240" s="1150" t="s">
        <v>2592</v>
      </c>
      <c r="DO240" s="1151"/>
      <c r="DP240" s="1150" t="s">
        <v>2593</v>
      </c>
      <c r="DQ240" s="1151"/>
      <c r="DR240" s="1150" t="s">
        <v>2594</v>
      </c>
      <c r="DS240" s="1151"/>
      <c r="DT240" s="1150" t="s">
        <v>2595</v>
      </c>
      <c r="DU240" s="1151"/>
      <c r="DV240" s="1150" t="s">
        <v>2596</v>
      </c>
      <c r="DW240" s="1151"/>
      <c r="DX240" s="1150" t="s">
        <v>2597</v>
      </c>
      <c r="DY240" s="1151"/>
      <c r="DZ240" s="1150" t="s">
        <v>2598</v>
      </c>
      <c r="EA240" s="1151"/>
      <c r="EB240" s="1150" t="s">
        <v>2599</v>
      </c>
      <c r="EC240" s="1151"/>
      <c r="ED240" s="1150" t="s">
        <v>2600</v>
      </c>
      <c r="EE240" s="1151"/>
      <c r="EF240" s="1150" t="s">
        <v>2601</v>
      </c>
      <c r="EG240" s="1151"/>
      <c r="EH240" s="1150" t="s">
        <v>2602</v>
      </c>
      <c r="EI240" s="1151"/>
      <c r="EJ240" s="1150" t="s">
        <v>2603</v>
      </c>
      <c r="EK240" s="1151"/>
      <c r="EL240" s="1150" t="s">
        <v>2604</v>
      </c>
      <c r="EM240" s="1151"/>
      <c r="EN240" s="1150" t="s">
        <v>2524</v>
      </c>
      <c r="EO240" s="1151"/>
      <c r="EP240" s="1150" t="s">
        <v>2525</v>
      </c>
      <c r="EQ240" s="1151"/>
      <c r="ER240" s="1150" t="s">
        <v>2526</v>
      </c>
      <c r="ES240" s="1151"/>
      <c r="ET240" s="1150" t="s">
        <v>2527</v>
      </c>
      <c r="EU240" s="1151"/>
      <c r="EV240" s="1150" t="s">
        <v>2528</v>
      </c>
      <c r="EW240" s="1151"/>
      <c r="EX240" s="1150" t="s">
        <v>2605</v>
      </c>
      <c r="EY240" s="1151"/>
    </row>
    <row r="241" spans="1:155" x14ac:dyDescent="0.25">
      <c r="A241" s="702"/>
      <c r="B241" s="626" t="s">
        <v>2375</v>
      </c>
      <c r="C241" s="627" t="s">
        <v>225</v>
      </c>
      <c r="D241" s="626" t="s">
        <v>2375</v>
      </c>
      <c r="E241" s="627" t="s">
        <v>225</v>
      </c>
      <c r="F241" s="626" t="s">
        <v>2375</v>
      </c>
      <c r="G241" s="627" t="s">
        <v>225</v>
      </c>
      <c r="H241" s="626" t="s">
        <v>2375</v>
      </c>
      <c r="I241" s="627" t="s">
        <v>225</v>
      </c>
      <c r="J241" s="626" t="s">
        <v>2375</v>
      </c>
      <c r="K241" s="627" t="s">
        <v>225</v>
      </c>
      <c r="L241" s="626" t="s">
        <v>2375</v>
      </c>
      <c r="M241" s="627" t="s">
        <v>225</v>
      </c>
      <c r="N241" s="626" t="s">
        <v>2375</v>
      </c>
      <c r="O241" s="627" t="s">
        <v>225</v>
      </c>
      <c r="P241" s="626" t="s">
        <v>2375</v>
      </c>
      <c r="Q241" s="627" t="s">
        <v>225</v>
      </c>
      <c r="R241" s="626" t="s">
        <v>2375</v>
      </c>
      <c r="S241" s="627" t="s">
        <v>225</v>
      </c>
      <c r="T241" s="626" t="s">
        <v>2375</v>
      </c>
      <c r="U241" s="627" t="s">
        <v>225</v>
      </c>
      <c r="V241" s="626" t="s">
        <v>2375</v>
      </c>
      <c r="W241" s="627" t="s">
        <v>225</v>
      </c>
      <c r="X241" s="626" t="s">
        <v>2375</v>
      </c>
      <c r="Y241" s="627" t="s">
        <v>225</v>
      </c>
      <c r="Z241" s="626" t="s">
        <v>2375</v>
      </c>
      <c r="AA241" s="627" t="s">
        <v>225</v>
      </c>
      <c r="AB241" s="626" t="s">
        <v>2375</v>
      </c>
      <c r="AC241" s="627" t="s">
        <v>225</v>
      </c>
      <c r="AD241" s="626" t="s">
        <v>2375</v>
      </c>
      <c r="AE241" s="627" t="s">
        <v>225</v>
      </c>
      <c r="AF241" s="626" t="s">
        <v>2375</v>
      </c>
      <c r="AG241" s="627" t="s">
        <v>225</v>
      </c>
      <c r="AH241" s="626" t="s">
        <v>2375</v>
      </c>
      <c r="AI241" s="627" t="s">
        <v>225</v>
      </c>
      <c r="AJ241" s="626" t="s">
        <v>2375</v>
      </c>
      <c r="AK241" s="627" t="s">
        <v>225</v>
      </c>
      <c r="AL241" s="626" t="s">
        <v>2375</v>
      </c>
      <c r="AM241" s="627" t="s">
        <v>225</v>
      </c>
      <c r="AN241" s="626" t="s">
        <v>2375</v>
      </c>
      <c r="AO241" s="627" t="s">
        <v>225</v>
      </c>
      <c r="AP241" s="626" t="s">
        <v>2375</v>
      </c>
      <c r="AQ241" s="627" t="s">
        <v>225</v>
      </c>
      <c r="AR241" s="626" t="s">
        <v>2375</v>
      </c>
      <c r="AS241" s="627" t="s">
        <v>225</v>
      </c>
      <c r="AT241" s="626" t="s">
        <v>2375</v>
      </c>
      <c r="AU241" s="627" t="s">
        <v>225</v>
      </c>
      <c r="AV241" s="626" t="s">
        <v>2375</v>
      </c>
      <c r="AW241" s="627" t="s">
        <v>225</v>
      </c>
      <c r="AX241" s="626" t="s">
        <v>2375</v>
      </c>
      <c r="AY241" s="627" t="s">
        <v>225</v>
      </c>
      <c r="AZ241" s="626" t="s">
        <v>2375</v>
      </c>
      <c r="BA241" s="627" t="s">
        <v>225</v>
      </c>
      <c r="BB241" s="626" t="s">
        <v>2375</v>
      </c>
      <c r="BC241" s="627" t="s">
        <v>225</v>
      </c>
      <c r="BD241" s="626" t="s">
        <v>2375</v>
      </c>
      <c r="BE241" s="627" t="s">
        <v>225</v>
      </c>
      <c r="BF241" s="626" t="s">
        <v>2375</v>
      </c>
      <c r="BG241" s="627" t="s">
        <v>225</v>
      </c>
      <c r="BH241" s="626" t="s">
        <v>2375</v>
      </c>
      <c r="BI241" s="627" t="s">
        <v>225</v>
      </c>
      <c r="BJ241" s="626" t="s">
        <v>2375</v>
      </c>
      <c r="BK241" s="627" t="s">
        <v>225</v>
      </c>
      <c r="BL241" s="626" t="s">
        <v>2375</v>
      </c>
      <c r="BM241" s="627" t="s">
        <v>225</v>
      </c>
      <c r="BN241" s="626" t="s">
        <v>2375</v>
      </c>
      <c r="BO241" s="627" t="s">
        <v>225</v>
      </c>
      <c r="BP241" s="626" t="s">
        <v>2375</v>
      </c>
      <c r="BQ241" s="627" t="s">
        <v>225</v>
      </c>
      <c r="BR241" s="626" t="s">
        <v>2375</v>
      </c>
      <c r="BS241" s="627" t="s">
        <v>225</v>
      </c>
      <c r="BT241" s="626" t="s">
        <v>2375</v>
      </c>
      <c r="BU241" s="627" t="s">
        <v>225</v>
      </c>
      <c r="BV241" s="626" t="s">
        <v>2375</v>
      </c>
      <c r="BW241" s="627" t="s">
        <v>225</v>
      </c>
      <c r="BX241" s="626" t="s">
        <v>2375</v>
      </c>
      <c r="BY241" s="627" t="s">
        <v>225</v>
      </c>
      <c r="BZ241" s="626" t="s">
        <v>2375</v>
      </c>
      <c r="CA241" s="627" t="s">
        <v>225</v>
      </c>
      <c r="CB241" s="626" t="s">
        <v>2375</v>
      </c>
      <c r="CC241" s="627" t="s">
        <v>225</v>
      </c>
      <c r="CD241" s="626" t="s">
        <v>2375</v>
      </c>
      <c r="CE241" s="628" t="s">
        <v>225</v>
      </c>
      <c r="CF241" s="626" t="s">
        <v>2375</v>
      </c>
      <c r="CG241" s="627" t="s">
        <v>225</v>
      </c>
      <c r="CH241" s="626" t="s">
        <v>2375</v>
      </c>
      <c r="CI241" s="627" t="s">
        <v>225</v>
      </c>
      <c r="CJ241" s="626" t="s">
        <v>2375</v>
      </c>
      <c r="CK241" s="627" t="s">
        <v>225</v>
      </c>
      <c r="CL241" s="626" t="s">
        <v>2375</v>
      </c>
      <c r="CM241" s="627" t="s">
        <v>225</v>
      </c>
      <c r="CN241" s="626" t="s">
        <v>2375</v>
      </c>
      <c r="CO241" s="627" t="s">
        <v>225</v>
      </c>
      <c r="CP241" s="626" t="s">
        <v>2375</v>
      </c>
      <c r="CQ241" s="627" t="s">
        <v>225</v>
      </c>
      <c r="CR241" s="626" t="s">
        <v>2375</v>
      </c>
      <c r="CS241" s="627" t="s">
        <v>225</v>
      </c>
      <c r="CT241" s="626" t="s">
        <v>2375</v>
      </c>
      <c r="CU241" s="627" t="s">
        <v>225</v>
      </c>
      <c r="CV241" s="626" t="s">
        <v>2375</v>
      </c>
      <c r="CW241" s="627" t="s">
        <v>225</v>
      </c>
      <c r="CX241" s="626" t="s">
        <v>2375</v>
      </c>
      <c r="CY241" s="627" t="s">
        <v>225</v>
      </c>
      <c r="CZ241" s="626" t="s">
        <v>2375</v>
      </c>
      <c r="DA241" s="627" t="s">
        <v>225</v>
      </c>
      <c r="DB241" s="626" t="s">
        <v>2375</v>
      </c>
      <c r="DC241" s="627" t="s">
        <v>225</v>
      </c>
      <c r="DD241" s="626" t="s">
        <v>2375</v>
      </c>
      <c r="DE241" s="627" t="s">
        <v>225</v>
      </c>
      <c r="DF241" s="626" t="s">
        <v>2375</v>
      </c>
      <c r="DG241" s="627" t="s">
        <v>225</v>
      </c>
      <c r="DH241" s="626" t="s">
        <v>2375</v>
      </c>
      <c r="DI241" s="627" t="s">
        <v>225</v>
      </c>
      <c r="DJ241" s="626" t="s">
        <v>2375</v>
      </c>
      <c r="DK241" s="627" t="s">
        <v>225</v>
      </c>
      <c r="DL241" s="626" t="s">
        <v>2375</v>
      </c>
      <c r="DM241" s="627" t="s">
        <v>225</v>
      </c>
      <c r="DN241" s="626" t="s">
        <v>2375</v>
      </c>
      <c r="DO241" s="627" t="s">
        <v>225</v>
      </c>
      <c r="DP241" s="626" t="s">
        <v>2375</v>
      </c>
      <c r="DQ241" s="627" t="s">
        <v>225</v>
      </c>
      <c r="DR241" s="626" t="s">
        <v>2375</v>
      </c>
      <c r="DS241" s="627" t="s">
        <v>225</v>
      </c>
      <c r="DT241" s="626" t="s">
        <v>2375</v>
      </c>
      <c r="DU241" s="627" t="s">
        <v>225</v>
      </c>
      <c r="DV241" s="626" t="s">
        <v>2375</v>
      </c>
      <c r="DW241" s="627" t="s">
        <v>225</v>
      </c>
      <c r="DX241" s="626" t="s">
        <v>2375</v>
      </c>
      <c r="DY241" s="627" t="s">
        <v>225</v>
      </c>
      <c r="DZ241" s="626" t="s">
        <v>2375</v>
      </c>
      <c r="EA241" s="627" t="s">
        <v>225</v>
      </c>
      <c r="EB241" s="626" t="s">
        <v>2375</v>
      </c>
      <c r="EC241" s="627" t="s">
        <v>225</v>
      </c>
      <c r="ED241" s="626" t="s">
        <v>2375</v>
      </c>
      <c r="EE241" s="627" t="s">
        <v>225</v>
      </c>
      <c r="EF241" s="626" t="s">
        <v>2375</v>
      </c>
      <c r="EG241" s="627" t="s">
        <v>225</v>
      </c>
      <c r="EH241" s="626" t="s">
        <v>2375</v>
      </c>
      <c r="EI241" s="627" t="s">
        <v>225</v>
      </c>
      <c r="EJ241" s="626" t="s">
        <v>2375</v>
      </c>
      <c r="EK241" s="627" t="s">
        <v>225</v>
      </c>
      <c r="EL241" s="626" t="s">
        <v>2375</v>
      </c>
      <c r="EM241" s="627" t="s">
        <v>225</v>
      </c>
      <c r="EN241" s="626" t="s">
        <v>2375</v>
      </c>
      <c r="EO241" s="627" t="s">
        <v>225</v>
      </c>
      <c r="EP241" s="626" t="s">
        <v>2375</v>
      </c>
      <c r="EQ241" s="627" t="s">
        <v>225</v>
      </c>
      <c r="ER241" s="626" t="s">
        <v>2375</v>
      </c>
      <c r="ES241" s="627" t="s">
        <v>225</v>
      </c>
      <c r="ET241" s="626" t="s">
        <v>2375</v>
      </c>
      <c r="EU241" s="627" t="s">
        <v>225</v>
      </c>
      <c r="EV241" s="626" t="s">
        <v>2375</v>
      </c>
      <c r="EW241" s="627" t="s">
        <v>225</v>
      </c>
      <c r="EX241" s="626" t="s">
        <v>2375</v>
      </c>
      <c r="EY241" s="627" t="s">
        <v>225</v>
      </c>
    </row>
    <row r="242" spans="1:155" x14ac:dyDescent="0.25">
      <c r="A242" s="703" t="s">
        <v>2347</v>
      </c>
      <c r="B242" s="72"/>
      <c r="C242" s="613">
        <v>1.0089449040965557</v>
      </c>
      <c r="D242" s="72"/>
      <c r="E242" s="613">
        <v>1.0089450080412237</v>
      </c>
      <c r="F242" s="72"/>
      <c r="G242" s="613">
        <v>1.0089449040965557</v>
      </c>
      <c r="H242" s="72"/>
      <c r="I242" s="613">
        <v>1.0089450080412237</v>
      </c>
      <c r="J242" s="72"/>
      <c r="K242" s="613">
        <v>1.0089449040965557</v>
      </c>
      <c r="L242" s="72"/>
      <c r="M242" s="613">
        <v>1.0000454352250641</v>
      </c>
      <c r="N242" s="72"/>
      <c r="O242" s="613">
        <v>1.0000454352250641</v>
      </c>
      <c r="P242" s="72"/>
      <c r="Q242" s="613">
        <v>1.0000454352250641</v>
      </c>
      <c r="R242" s="72"/>
      <c r="S242" s="613">
        <v>1.0000454352250641</v>
      </c>
      <c r="T242" s="72"/>
      <c r="U242" s="613">
        <v>1.0000454352250641</v>
      </c>
      <c r="V242" s="72"/>
      <c r="W242" s="613">
        <v>1.0000454352250641</v>
      </c>
      <c r="X242" s="72"/>
      <c r="Y242" s="613">
        <v>1.0000454352250641</v>
      </c>
      <c r="Z242" s="72"/>
      <c r="AA242" s="613">
        <v>1.0000454352250641</v>
      </c>
      <c r="AB242" s="72"/>
      <c r="AC242" s="613">
        <v>1.0000454352250641</v>
      </c>
      <c r="AD242" s="72"/>
      <c r="AE242" s="613">
        <v>1.0000454352250641</v>
      </c>
      <c r="AF242" s="72"/>
      <c r="AG242" s="613">
        <v>1.0000454352250641</v>
      </c>
      <c r="AH242" s="72"/>
      <c r="AI242" s="613">
        <v>1.0000454352250641</v>
      </c>
      <c r="AJ242" s="72"/>
      <c r="AK242" s="613">
        <v>1.0000454352250641</v>
      </c>
      <c r="AL242" s="72"/>
      <c r="AM242" s="613">
        <v>1.0000454352250641</v>
      </c>
      <c r="AN242" s="72"/>
      <c r="AO242" s="613">
        <v>1.0000454352250641</v>
      </c>
      <c r="AP242" s="72"/>
      <c r="AQ242" s="613">
        <v>1.0000454352250641</v>
      </c>
      <c r="AR242" s="72"/>
      <c r="AS242" s="613">
        <v>1.0000454352250641</v>
      </c>
      <c r="AT242" s="72"/>
      <c r="AU242" s="613">
        <v>1.0000454352250641</v>
      </c>
      <c r="AV242" s="72"/>
      <c r="AW242" s="613">
        <v>1.0000454352250641</v>
      </c>
      <c r="AX242" s="72"/>
      <c r="AY242" s="613">
        <v>1.0000454352250641</v>
      </c>
      <c r="AZ242" s="72"/>
      <c r="BA242" s="613">
        <v>1.0000454352250641</v>
      </c>
      <c r="BB242" s="72"/>
      <c r="BC242" s="613">
        <v>1.0000454352250641</v>
      </c>
      <c r="BD242" s="72"/>
      <c r="BE242" s="613">
        <v>1.0000454352250641</v>
      </c>
      <c r="BF242" s="72"/>
      <c r="BG242" s="613">
        <v>1.0000454352250641</v>
      </c>
      <c r="BH242" s="72"/>
      <c r="BI242" s="613">
        <v>1.0000454352250641</v>
      </c>
      <c r="BJ242" s="72"/>
      <c r="BK242" s="613">
        <v>1.0000454352250641</v>
      </c>
      <c r="BL242" s="72"/>
      <c r="BM242" s="613">
        <v>1.0000454352250641</v>
      </c>
      <c r="BN242" s="72"/>
      <c r="BO242" s="613">
        <v>1.0000454352250641</v>
      </c>
      <c r="BP242" s="72"/>
      <c r="BQ242" s="613">
        <v>1.0000454352250641</v>
      </c>
      <c r="BR242" s="72"/>
      <c r="BS242" s="613">
        <v>1.0000454352250641</v>
      </c>
      <c r="BT242" s="72"/>
      <c r="BU242" s="613">
        <v>1.0000454352250641</v>
      </c>
      <c r="BV242" s="72"/>
      <c r="BW242" s="613">
        <v>1.0000454352250641</v>
      </c>
      <c r="BX242" s="72"/>
      <c r="BY242" s="613">
        <v>1.0000454352250641</v>
      </c>
      <c r="BZ242" s="72"/>
      <c r="CA242" s="613">
        <v>1.0000454352250641</v>
      </c>
      <c r="CB242" s="72"/>
      <c r="CC242" s="613">
        <v>1.0000454352250641</v>
      </c>
      <c r="CD242" s="72"/>
      <c r="CE242" s="614">
        <v>1.0000454352250641</v>
      </c>
      <c r="CF242" s="72"/>
      <c r="CG242" s="613">
        <v>1.0000454352250641</v>
      </c>
      <c r="CH242" s="72"/>
      <c r="CI242" s="613">
        <v>1.0000454352250641</v>
      </c>
      <c r="CJ242" s="72"/>
      <c r="CK242" s="613">
        <v>1.0000454352250641</v>
      </c>
      <c r="CL242" s="72"/>
      <c r="CM242" s="613">
        <v>1.0000454352250641</v>
      </c>
      <c r="CN242" s="72"/>
      <c r="CO242" s="613">
        <v>1.0000454352250641</v>
      </c>
      <c r="CP242" s="72"/>
      <c r="CQ242" s="613">
        <v>1.0000454352250641</v>
      </c>
      <c r="CR242" s="72"/>
      <c r="CS242" s="613">
        <v>1.0000454352250641</v>
      </c>
      <c r="CT242" s="72"/>
      <c r="CU242" s="613">
        <v>1.0000454352250641</v>
      </c>
      <c r="CV242" s="72"/>
      <c r="CW242" s="613">
        <v>1.0000454352250641</v>
      </c>
      <c r="CX242" s="72"/>
      <c r="CY242" s="613">
        <v>1.0000454352250641</v>
      </c>
      <c r="CZ242" s="72"/>
      <c r="DA242" s="613">
        <v>1.0000454352250641</v>
      </c>
      <c r="DB242" s="72"/>
      <c r="DC242" s="613">
        <v>1.0000454352250641</v>
      </c>
      <c r="DD242" s="72"/>
      <c r="DE242" s="613">
        <v>1.0000454352250641</v>
      </c>
      <c r="DF242" s="72"/>
      <c r="DG242" s="613">
        <v>1.0000454352250641</v>
      </c>
      <c r="DH242" s="72"/>
      <c r="DI242" s="613">
        <v>1.0000454352250641</v>
      </c>
      <c r="DJ242" s="72"/>
      <c r="DK242" s="613">
        <v>1.0000454352250641</v>
      </c>
      <c r="DL242" s="72"/>
      <c r="DM242" s="613">
        <v>1.0000454352250641</v>
      </c>
      <c r="DN242" s="72"/>
      <c r="DO242" s="613">
        <v>1.0000454352250641</v>
      </c>
      <c r="DP242" s="72"/>
      <c r="DQ242" s="613">
        <v>1.0000454352250641</v>
      </c>
      <c r="DR242" s="72"/>
      <c r="DS242" s="613">
        <v>1.0000454352250641</v>
      </c>
      <c r="DT242" s="72"/>
      <c r="DU242" s="613">
        <v>1.0000454352250641</v>
      </c>
      <c r="DV242" s="72"/>
      <c r="DW242" s="613">
        <v>1.0000454352250641</v>
      </c>
      <c r="DX242" s="72"/>
      <c r="DY242" s="613">
        <v>1.0000454352250641</v>
      </c>
      <c r="DZ242" s="72"/>
      <c r="EA242" s="613">
        <v>1.0000454352250641</v>
      </c>
      <c r="EB242" s="72"/>
      <c r="EC242" s="613">
        <v>1.0000454352250641</v>
      </c>
      <c r="ED242" s="72"/>
      <c r="EE242" s="613">
        <v>1.0000454352250641</v>
      </c>
      <c r="EF242" s="72"/>
      <c r="EG242" s="613">
        <v>1.0000454352250641</v>
      </c>
      <c r="EH242" s="72"/>
      <c r="EI242" s="613">
        <v>1.0000454352250641</v>
      </c>
      <c r="EJ242" s="72"/>
      <c r="EK242" s="613">
        <v>1.0000454352250641</v>
      </c>
      <c r="EL242" s="72"/>
      <c r="EM242" s="613">
        <v>1.0000454352250641</v>
      </c>
      <c r="EN242" s="72"/>
      <c r="EO242" s="613">
        <v>1.0000454352250641</v>
      </c>
      <c r="EP242" s="72"/>
      <c r="EQ242" s="613">
        <v>1.0000454352250641</v>
      </c>
      <c r="ER242" s="72"/>
      <c r="ES242" s="613">
        <v>1.0000454352250641</v>
      </c>
      <c r="ET242" s="72"/>
      <c r="EU242" s="613">
        <v>1.0000454352250641</v>
      </c>
      <c r="EV242" s="72"/>
      <c r="EW242" s="613">
        <v>1.0000454352250641</v>
      </c>
      <c r="EX242" s="72"/>
      <c r="EY242" s="613">
        <v>1.0000454352250641</v>
      </c>
    </row>
    <row r="243" spans="1:155" x14ac:dyDescent="0.25">
      <c r="A243" s="703" t="s">
        <v>2348</v>
      </c>
      <c r="B243" s="631">
        <v>62542.194705720562</v>
      </c>
      <c r="C243" s="617">
        <v>58537.117057555697</v>
      </c>
      <c r="D243" s="631">
        <v>62542.194705720562</v>
      </c>
      <c r="E243" s="617">
        <v>78086.373103087899</v>
      </c>
      <c r="F243" s="631">
        <v>34502.52348829589</v>
      </c>
      <c r="G243" s="617">
        <v>911353.95703854354</v>
      </c>
      <c r="H243" s="631">
        <v>34502.52348829589</v>
      </c>
      <c r="I243" s="617">
        <v>930903.21308407572</v>
      </c>
      <c r="J243" s="631">
        <v>62542.194705720562</v>
      </c>
      <c r="K243" s="617">
        <v>58537.117057555697</v>
      </c>
      <c r="L243" s="631">
        <v>83586.96705688248</v>
      </c>
      <c r="M243" s="617">
        <v>590862.32192304684</v>
      </c>
      <c r="N243" s="631">
        <v>78903.563888471064</v>
      </c>
      <c r="O243" s="617">
        <v>590208.44220011728</v>
      </c>
      <c r="P243" s="631">
        <v>-897421.46301051194</v>
      </c>
      <c r="Q243" s="617">
        <v>66046.160412012265</v>
      </c>
      <c r="R243" s="631">
        <v>24409.635839949318</v>
      </c>
      <c r="S243" s="617">
        <v>1033690.1539529648</v>
      </c>
      <c r="T243" s="631">
        <v>20045.13603885637</v>
      </c>
      <c r="U243" s="617">
        <v>1029325.455849841</v>
      </c>
      <c r="V243" s="631">
        <v>21934.968546190641</v>
      </c>
      <c r="W243" s="617">
        <v>1031215.3742221406</v>
      </c>
      <c r="X243" s="631">
        <v>77853.689497169573</v>
      </c>
      <c r="Y243" s="617">
        <v>1074056.8776158195</v>
      </c>
      <c r="Z243" s="631">
        <v>24409.635839949318</v>
      </c>
      <c r="AA243" s="617">
        <v>1033690.1539529648</v>
      </c>
      <c r="AB243" s="631">
        <v>48258.847278045272</v>
      </c>
      <c r="AC243" s="617">
        <v>472269.82106672827</v>
      </c>
      <c r="AD243" s="631">
        <v>97563.966237979257</v>
      </c>
      <c r="AE243" s="617">
        <v>338803.47433948051</v>
      </c>
      <c r="AF243" s="631">
        <v>124819.75364605545</v>
      </c>
      <c r="AG243" s="617">
        <v>386740.53272683674</v>
      </c>
      <c r="AH243" s="631">
        <v>257286.17246384837</v>
      </c>
      <c r="AI243" s="617">
        <v>323281.61029246269</v>
      </c>
      <c r="AJ243" s="631">
        <v>118357.2143003363</v>
      </c>
      <c r="AK243" s="617">
        <v>691883.95272887009</v>
      </c>
      <c r="AL243" s="631">
        <v>2547202.4276991477</v>
      </c>
      <c r="AM243" s="617">
        <v>143435.03026173331</v>
      </c>
      <c r="AN243" s="631">
        <v>1001785.6813495074</v>
      </c>
      <c r="AO243" s="617">
        <v>143435.03026173331</v>
      </c>
      <c r="AP243" s="631">
        <v>138286.90852375596</v>
      </c>
      <c r="AQ243" s="617">
        <v>751299.98494485184</v>
      </c>
      <c r="AR243" s="631">
        <v>48258.847278045272</v>
      </c>
      <c r="AS243" s="617">
        <v>472269.82106672827</v>
      </c>
      <c r="AT243" s="631">
        <v>994158.54430275946</v>
      </c>
      <c r="AU243" s="617">
        <v>-207826.72081393059</v>
      </c>
      <c r="AV243" s="631">
        <v>2246210.4783078465</v>
      </c>
      <c r="AW243" s="617">
        <v>381387.65357723186</v>
      </c>
      <c r="AX243" s="631">
        <v>1099392.4035237357</v>
      </c>
      <c r="AY243" s="617">
        <v>147091.71663807079</v>
      </c>
      <c r="AZ243" s="631">
        <v>994158.54430275946</v>
      </c>
      <c r="BA243" s="617">
        <v>-207826.72081393059</v>
      </c>
      <c r="BB243" s="631">
        <v>3592512.5528020435</v>
      </c>
      <c r="BC243" s="617">
        <v>478904.44223442127</v>
      </c>
      <c r="BD243" s="631">
        <v>1420400.4752654834</v>
      </c>
      <c r="BE243" s="617">
        <v>710501.06688742596</v>
      </c>
      <c r="BF243" s="631">
        <v>3187437.9926909208</v>
      </c>
      <c r="BG243" s="617">
        <v>237010.59160227457</v>
      </c>
      <c r="BH243" s="631">
        <v>2629421.8440635903</v>
      </c>
      <c r="BI243" s="617">
        <v>114817.58005098737</v>
      </c>
      <c r="BJ243" s="631">
        <v>243974.59580027996</v>
      </c>
      <c r="BK243" s="617">
        <v>147033.87793884589</v>
      </c>
      <c r="BL243" s="631">
        <v>269770.55382691458</v>
      </c>
      <c r="BM243" s="617">
        <v>147432.65912672825</v>
      </c>
      <c r="BN243" s="631">
        <v>172551.57541333576</v>
      </c>
      <c r="BO243" s="617">
        <v>59091.91649632113</v>
      </c>
      <c r="BP243" s="631">
        <v>422775.72174476698</v>
      </c>
      <c r="BQ243" s="617">
        <v>495194.8022613537</v>
      </c>
      <c r="BR243" s="631">
        <v>61926.89824480503</v>
      </c>
      <c r="BS243" s="617">
        <v>469876.16447388765</v>
      </c>
      <c r="BT243" s="631">
        <v>131792.8470175993</v>
      </c>
      <c r="BU243" s="617">
        <v>215415.08822319156</v>
      </c>
      <c r="BV243" s="631">
        <v>830300.79659700766</v>
      </c>
      <c r="BW243" s="617">
        <v>347936.1925365685</v>
      </c>
      <c r="BX243" s="631">
        <v>816254.14792337653</v>
      </c>
      <c r="BY243" s="617">
        <v>345864.71438127261</v>
      </c>
      <c r="BZ243" s="631">
        <v>245102.33676781855</v>
      </c>
      <c r="CA243" s="617">
        <v>11294.848113754448</v>
      </c>
      <c r="CB243" s="631">
        <v>3592512.5528020435</v>
      </c>
      <c r="CC243" s="617">
        <v>478904.44223442127</v>
      </c>
      <c r="CD243" s="631">
        <v>48258.847278045272</v>
      </c>
      <c r="CE243" s="251">
        <v>472269.82106672827</v>
      </c>
      <c r="CF243" s="658">
        <v>30523.646952687817</v>
      </c>
      <c r="CG243" s="617">
        <v>1039804.4428571742</v>
      </c>
      <c r="CH243" s="658">
        <v>38322.064364718448</v>
      </c>
      <c r="CI243" s="617">
        <v>1047603.2145920552</v>
      </c>
      <c r="CJ243" s="658">
        <v>297952.14188380138</v>
      </c>
      <c r="CK243" s="617">
        <v>1307245.0884621437</v>
      </c>
      <c r="CL243" s="658">
        <v>288817.65238986735</v>
      </c>
      <c r="CM243" s="617">
        <v>1298110.1839406234</v>
      </c>
      <c r="CN243" s="658">
        <v>186980.50948011293</v>
      </c>
      <c r="CO243" s="617">
        <v>1196268.4140373613</v>
      </c>
      <c r="CP243" s="658">
        <v>24409.635839949318</v>
      </c>
      <c r="CQ243" s="617">
        <v>1033690.1539529648</v>
      </c>
      <c r="CR243" s="658">
        <v>994158.54430275946</v>
      </c>
      <c r="CS243" s="617">
        <v>-207826.72081393059</v>
      </c>
      <c r="CT243" s="658">
        <v>1948554.5881957309</v>
      </c>
      <c r="CU243" s="617">
        <v>381387.65357723186</v>
      </c>
      <c r="CV243" s="658">
        <v>2073717.1723336484</v>
      </c>
      <c r="CW243" s="617">
        <v>381387.65357723186</v>
      </c>
      <c r="CX243" s="658">
        <v>2484814.4631123506</v>
      </c>
      <c r="CY243" s="617">
        <v>381387.65357723186</v>
      </c>
      <c r="CZ243" s="658">
        <v>2674656.6204553419</v>
      </c>
      <c r="DA243" s="617">
        <v>381387.65357723186</v>
      </c>
      <c r="DB243" s="658">
        <v>2246210.4783078465</v>
      </c>
      <c r="DC243" s="617">
        <v>381387.65357723186</v>
      </c>
      <c r="DD243" s="658">
        <v>2291446.7815548205</v>
      </c>
      <c r="DE243" s="617">
        <v>381387.65357723186</v>
      </c>
      <c r="DF243" s="658">
        <v>1099392.4035237357</v>
      </c>
      <c r="DG243" s="617">
        <v>147091.71663807079</v>
      </c>
      <c r="DH243" s="658">
        <v>1070209.9671891266</v>
      </c>
      <c r="DI243" s="617">
        <v>147091.71663807079</v>
      </c>
      <c r="DJ243" s="658">
        <v>1138708.7535548499</v>
      </c>
      <c r="DK243" s="617">
        <v>147091.71663807079</v>
      </c>
      <c r="DL243" s="658">
        <v>776369.70710827911</v>
      </c>
      <c r="DM243" s="617">
        <v>147091.71663807079</v>
      </c>
      <c r="DN243" s="658">
        <v>2030999.4149154825</v>
      </c>
      <c r="DO243" s="617">
        <v>147091.71663807079</v>
      </c>
      <c r="DP243" s="658">
        <v>2154600.0599023313</v>
      </c>
      <c r="DQ243" s="617">
        <v>147091.71663807079</v>
      </c>
      <c r="DR243" s="658">
        <v>2675040.3532360345</v>
      </c>
      <c r="DS243" s="617">
        <v>147091.71663807079</v>
      </c>
      <c r="DT243" s="658">
        <v>2862513.4168109517</v>
      </c>
      <c r="DU243" s="617">
        <v>147091.71663807079</v>
      </c>
      <c r="DV243" s="658">
        <v>2439413.9747827724</v>
      </c>
      <c r="DW243" s="617">
        <v>147091.71663807079</v>
      </c>
      <c r="DX243" s="658">
        <v>2484085.7614565417</v>
      </c>
      <c r="DY243" s="617">
        <v>147091.71663807079</v>
      </c>
      <c r="DZ243" s="658">
        <v>888476.22135676187</v>
      </c>
      <c r="EA243" s="617">
        <v>147091.71663807079</v>
      </c>
      <c r="EB243" s="658">
        <v>3171409.7250926318</v>
      </c>
      <c r="EC243" s="617">
        <v>478904.44223442127</v>
      </c>
      <c r="ED243" s="658">
        <v>3348481.0341268387</v>
      </c>
      <c r="EE243" s="617">
        <v>478904.44223442127</v>
      </c>
      <c r="EF243" s="658">
        <v>3930072.8566349852</v>
      </c>
      <c r="EG243" s="617">
        <v>478904.44223442127</v>
      </c>
      <c r="EH243" s="658">
        <v>4198648.3222354716</v>
      </c>
      <c r="EI243" s="617">
        <v>478904.44223442127</v>
      </c>
      <c r="EJ243" s="658">
        <v>3592512.5528020435</v>
      </c>
      <c r="EK243" s="617">
        <v>478904.44223442127</v>
      </c>
      <c r="EL243" s="658">
        <v>3656509.7248561438</v>
      </c>
      <c r="EM243" s="617">
        <v>478904.44223442127</v>
      </c>
      <c r="EN243" s="658">
        <v>39790.618087462455</v>
      </c>
      <c r="EO243" s="617">
        <v>1049071.8350388682</v>
      </c>
      <c r="EP243" s="658">
        <v>106339.16362369308</v>
      </c>
      <c r="EQ243" s="617">
        <v>873612.710405563</v>
      </c>
      <c r="ER243" s="631">
        <v>0</v>
      </c>
      <c r="ES243" s="617">
        <v>242744.90393068513</v>
      </c>
      <c r="ET243" s="631">
        <v>0</v>
      </c>
      <c r="EU243" s="617">
        <v>155483.9440088491</v>
      </c>
      <c r="EV243" s="631">
        <v>0</v>
      </c>
      <c r="EW243" s="617">
        <v>218875.04066284263</v>
      </c>
      <c r="EX243" s="658">
        <v>202.6397688513639</v>
      </c>
      <c r="EY243" s="617">
        <v>-360988.94887761102</v>
      </c>
    </row>
    <row r="244" spans="1:155" x14ac:dyDescent="0.25">
      <c r="A244" s="703" t="s">
        <v>2486</v>
      </c>
      <c r="B244" s="631">
        <v>58507.798279955925</v>
      </c>
      <c r="C244" s="617">
        <v>57512.518243702696</v>
      </c>
      <c r="D244" s="631">
        <v>58507.798279955925</v>
      </c>
      <c r="E244" s="617">
        <v>76733.418487961404</v>
      </c>
      <c r="F244" s="631">
        <v>34329.44758956218</v>
      </c>
      <c r="G244" s="617">
        <v>312297.26877632376</v>
      </c>
      <c r="H244" s="631">
        <v>34329.44758956218</v>
      </c>
      <c r="I244" s="617">
        <v>331518.16902058251</v>
      </c>
      <c r="J244" s="631">
        <v>58507.798279955925</v>
      </c>
      <c r="K244" s="617">
        <v>57512.518243702696</v>
      </c>
      <c r="L244" s="631">
        <v>83182.317889032143</v>
      </c>
      <c r="M244" s="617">
        <v>589503.3140505394</v>
      </c>
      <c r="N244" s="631">
        <v>78500.721693776853</v>
      </c>
      <c r="O244" s="617">
        <v>51978.838055285618</v>
      </c>
      <c r="P244" s="631">
        <v>96755.490385813129</v>
      </c>
      <c r="Q244" s="617">
        <v>598647.73036425747</v>
      </c>
      <c r="R244" s="631">
        <v>24287.189153920841</v>
      </c>
      <c r="S244" s="617">
        <v>32334.697564057828</v>
      </c>
      <c r="T244" s="631">
        <v>19142.438125470311</v>
      </c>
      <c r="U244" s="617">
        <v>1027280.5832328146</v>
      </c>
      <c r="V244" s="631">
        <v>21370.12014604744</v>
      </c>
      <c r="W244" s="617">
        <v>596487.75507432444</v>
      </c>
      <c r="X244" s="631">
        <v>77413.332948462543</v>
      </c>
      <c r="Y244" s="617">
        <v>687032.39630783978</v>
      </c>
      <c r="Z244" s="631">
        <v>24287.189153920841</v>
      </c>
      <c r="AA244" s="617">
        <v>32334.697564057828</v>
      </c>
      <c r="AB244" s="631">
        <v>45429.271919488747</v>
      </c>
      <c r="AC244" s="617">
        <v>216005.47642996561</v>
      </c>
      <c r="AD244" s="631">
        <v>94846.769175917449</v>
      </c>
      <c r="AE244" s="617">
        <v>208648.39488426718</v>
      </c>
      <c r="AF244" s="631">
        <v>122126.45239480905</v>
      </c>
      <c r="AG244" s="617">
        <v>213284.60008248556</v>
      </c>
      <c r="AH244" s="631">
        <v>252480.43560382989</v>
      </c>
      <c r="AI244" s="617">
        <v>214247.86725032984</v>
      </c>
      <c r="AJ244" s="631">
        <v>116504.88634770566</v>
      </c>
      <c r="AK244" s="617">
        <v>193422.58255000319</v>
      </c>
      <c r="AL244" s="631">
        <v>743553.40454581776</v>
      </c>
      <c r="AM244" s="617">
        <v>164076.40786683763</v>
      </c>
      <c r="AN244" s="631">
        <v>22003.587532950096</v>
      </c>
      <c r="AO244" s="617">
        <v>164076.40786683763</v>
      </c>
      <c r="AP244" s="631">
        <v>132846.3942083414</v>
      </c>
      <c r="AQ244" s="617">
        <v>207924.0375097233</v>
      </c>
      <c r="AR244" s="631">
        <v>45429.271919488747</v>
      </c>
      <c r="AS244" s="617">
        <v>216005.47642996561</v>
      </c>
      <c r="AT244" s="631">
        <v>219135.00676085852</v>
      </c>
      <c r="AU244" s="617">
        <v>470790.69583815528</v>
      </c>
      <c r="AV244" s="631">
        <v>134005.00441418745</v>
      </c>
      <c r="AW244" s="617">
        <v>70799.657541706809</v>
      </c>
      <c r="AX244" s="631">
        <v>608911.18664784124</v>
      </c>
      <c r="AY244" s="617">
        <v>134267.21894509645</v>
      </c>
      <c r="AZ244" s="631">
        <v>219135.00676085852</v>
      </c>
      <c r="BA244" s="617">
        <v>470790.69583815528</v>
      </c>
      <c r="BB244" s="631">
        <v>189580.94954805553</v>
      </c>
      <c r="BC244" s="617">
        <v>147116.57230995261</v>
      </c>
      <c r="BD244" s="631">
        <v>99915.202214837394</v>
      </c>
      <c r="BE244" s="617">
        <v>676957.46527976124</v>
      </c>
      <c r="BF244" s="631">
        <v>172859.29253336263</v>
      </c>
      <c r="BG244" s="617">
        <v>147359.20837642413</v>
      </c>
      <c r="BH244" s="631">
        <v>149824.13909532299</v>
      </c>
      <c r="BI244" s="617">
        <v>68679.621944115439</v>
      </c>
      <c r="BJ244" s="631">
        <v>215112.26464010018</v>
      </c>
      <c r="BK244" s="617">
        <v>146346.35941413607</v>
      </c>
      <c r="BL244" s="631">
        <v>251071.40003888204</v>
      </c>
      <c r="BM244" s="617">
        <v>146369.81538750895</v>
      </c>
      <c r="BN244" s="631">
        <v>152138.62751827171</v>
      </c>
      <c r="BO244" s="617">
        <v>58833.778825280075</v>
      </c>
      <c r="BP244" s="631">
        <v>110790.27254417841</v>
      </c>
      <c r="BQ244" s="617">
        <v>219007.92296805955</v>
      </c>
      <c r="BR244" s="631">
        <v>61616.252747435952</v>
      </c>
      <c r="BS244" s="617">
        <v>206124.68783770449</v>
      </c>
      <c r="BT244" s="631">
        <v>127133.21795418183</v>
      </c>
      <c r="BU244" s="617">
        <v>189892.9847653349</v>
      </c>
      <c r="BV244" s="631">
        <v>106596.97252789715</v>
      </c>
      <c r="BW244" s="617">
        <v>239642.63883210771</v>
      </c>
      <c r="BX244" s="631">
        <v>83054.856897242091</v>
      </c>
      <c r="BY244" s="617">
        <v>240571.62215248344</v>
      </c>
      <c r="BZ244" s="631">
        <v>216106.59322033168</v>
      </c>
      <c r="CA244" s="617">
        <v>11076.288444337952</v>
      </c>
      <c r="CB244" s="631">
        <v>189580.94954805553</v>
      </c>
      <c r="CC244" s="617">
        <v>147116.57230995261</v>
      </c>
      <c r="CD244" s="631">
        <v>45429.271919488747</v>
      </c>
      <c r="CE244" s="251">
        <v>216005.47642996561</v>
      </c>
      <c r="CF244" s="658">
        <v>30197.001709360764</v>
      </c>
      <c r="CG244" s="617">
        <v>38244.778633161295</v>
      </c>
      <c r="CH244" s="658">
        <v>37892.728056659806</v>
      </c>
      <c r="CI244" s="617">
        <v>45940.854637518962</v>
      </c>
      <c r="CJ244" s="658">
        <v>38252.156824595964</v>
      </c>
      <c r="CK244" s="617">
        <v>46300.299736182082</v>
      </c>
      <c r="CL244" s="658">
        <v>29387.549024607983</v>
      </c>
      <c r="CM244" s="617">
        <v>37435.289170743599</v>
      </c>
      <c r="CN244" s="658">
        <v>48999.080458686389</v>
      </c>
      <c r="CO244" s="617">
        <v>57047.711659166569</v>
      </c>
      <c r="CP244" s="658">
        <v>24287.189153920841</v>
      </c>
      <c r="CQ244" s="617">
        <v>32334.697564057828</v>
      </c>
      <c r="CR244" s="658">
        <v>219135.00676085852</v>
      </c>
      <c r="CS244" s="617">
        <v>470790.69583815528</v>
      </c>
      <c r="CT244" s="658">
        <v>86400.256998641969</v>
      </c>
      <c r="CU244" s="617">
        <v>70799.657541706809</v>
      </c>
      <c r="CV244" s="658">
        <v>112172.8343561548</v>
      </c>
      <c r="CW244" s="617">
        <v>70799.657541706809</v>
      </c>
      <c r="CX244" s="658">
        <v>102701.52885153727</v>
      </c>
      <c r="CY244" s="617">
        <v>70799.657541706809</v>
      </c>
      <c r="CZ244" s="658">
        <v>83789.31758265903</v>
      </c>
      <c r="DA244" s="617">
        <v>70799.657541706809</v>
      </c>
      <c r="DB244" s="658">
        <v>134005.00441418745</v>
      </c>
      <c r="DC244" s="617">
        <v>70799.657541706809</v>
      </c>
      <c r="DD244" s="658">
        <v>78035.180241291164</v>
      </c>
      <c r="DE244" s="617">
        <v>70799.657541706809</v>
      </c>
      <c r="DF244" s="658">
        <v>608911.18664784124</v>
      </c>
      <c r="DG244" s="617">
        <v>134267.21894509645</v>
      </c>
      <c r="DH244" s="658">
        <v>581397.07852713112</v>
      </c>
      <c r="DI244" s="617">
        <v>134267.21894509645</v>
      </c>
      <c r="DJ244" s="658">
        <v>576456.81846277881</v>
      </c>
      <c r="DK244" s="617">
        <v>134267.21894509645</v>
      </c>
      <c r="DL244" s="658">
        <v>898777.38328444387</v>
      </c>
      <c r="DM244" s="617">
        <v>134267.21894509645</v>
      </c>
      <c r="DN244" s="658">
        <v>68718.764015186753</v>
      </c>
      <c r="DO244" s="617">
        <v>134267.21894509645</v>
      </c>
      <c r="DP244" s="658">
        <v>94169.718118626552</v>
      </c>
      <c r="DQ244" s="617">
        <v>134267.21894509645</v>
      </c>
      <c r="DR244" s="658">
        <v>109000.01513900139</v>
      </c>
      <c r="DS244" s="617">
        <v>134267.21894509645</v>
      </c>
      <c r="DT244" s="658">
        <v>90323.81468291991</v>
      </c>
      <c r="DU244" s="617">
        <v>134267.21894509645</v>
      </c>
      <c r="DV244" s="658">
        <v>139912.8458105879</v>
      </c>
      <c r="DW244" s="617">
        <v>134267.21894509645</v>
      </c>
      <c r="DX244" s="658">
        <v>84641.484842619655</v>
      </c>
      <c r="DY244" s="617">
        <v>134267.21894509645</v>
      </c>
      <c r="DZ244" s="658">
        <v>156239.12450699948</v>
      </c>
      <c r="EA244" s="617">
        <v>134267.21894509645</v>
      </c>
      <c r="EB244" s="658">
        <v>122233.06759776802</v>
      </c>
      <c r="EC244" s="617">
        <v>147116.57230995261</v>
      </c>
      <c r="ED244" s="658">
        <v>158694.31551233251</v>
      </c>
      <c r="EE244" s="617">
        <v>147116.57230995261</v>
      </c>
      <c r="EF244" s="658">
        <v>145294.9719663611</v>
      </c>
      <c r="EG244" s="617">
        <v>147116.57230995261</v>
      </c>
      <c r="EH244" s="658">
        <v>118539.2923103573</v>
      </c>
      <c r="EI244" s="617">
        <v>147116.57230995261</v>
      </c>
      <c r="EJ244" s="658">
        <v>189580.94954805553</v>
      </c>
      <c r="EK244" s="617">
        <v>147116.57230995261</v>
      </c>
      <c r="EL244" s="658">
        <v>110398.73945731064</v>
      </c>
      <c r="EM244" s="617">
        <v>147116.57230995261</v>
      </c>
      <c r="EN244" s="658">
        <v>39334.039626351398</v>
      </c>
      <c r="EO244" s="617">
        <v>47382.231693526104</v>
      </c>
      <c r="EP244" s="658">
        <v>105857.04550241477</v>
      </c>
      <c r="EQ244" s="617">
        <v>20337.34741308033</v>
      </c>
      <c r="ER244" s="631">
        <v>0</v>
      </c>
      <c r="ES244" s="617">
        <v>269389.46764457249</v>
      </c>
      <c r="ET244" s="631">
        <v>0</v>
      </c>
      <c r="EU244" s="617">
        <v>213259.33542810287</v>
      </c>
      <c r="EV244" s="631">
        <v>0</v>
      </c>
      <c r="EW244" s="617">
        <v>259902.46209651823</v>
      </c>
      <c r="EX244" s="658">
        <v>178.66737084153948</v>
      </c>
      <c r="EY244" s="617">
        <v>-269879.13355648838</v>
      </c>
    </row>
    <row r="245" spans="1:155" x14ac:dyDescent="0.25">
      <c r="A245" s="703" t="s">
        <v>2221</v>
      </c>
      <c r="B245" s="631">
        <v>5522.0215761373074</v>
      </c>
      <c r="C245" s="617">
        <v>1465.3209034627575</v>
      </c>
      <c r="D245" s="631">
        <v>5522.0215761373074</v>
      </c>
      <c r="E245" s="617">
        <v>1934.843487331701</v>
      </c>
      <c r="F245" s="631">
        <v>240.195958363291</v>
      </c>
      <c r="G245" s="617">
        <v>28212.183290607943</v>
      </c>
      <c r="H245" s="631">
        <v>240.195958363291</v>
      </c>
      <c r="I245" s="617">
        <v>28681.705874476887</v>
      </c>
      <c r="J245" s="631">
        <v>5522.0215761373074</v>
      </c>
      <c r="K245" s="617">
        <v>1465.3209034627575</v>
      </c>
      <c r="L245" s="631">
        <v>579.86519956446671</v>
      </c>
      <c r="M245" s="617">
        <v>1946.9668481906583</v>
      </c>
      <c r="N245" s="631">
        <v>577.28247763029924</v>
      </c>
      <c r="O245" s="617">
        <v>1947.0260553607313</v>
      </c>
      <c r="P245" s="631">
        <v>37347.640029766022</v>
      </c>
      <c r="Q245" s="617">
        <v>21687.903508548923</v>
      </c>
      <c r="R245" s="631">
        <v>169.9323783045744</v>
      </c>
      <c r="S245" s="617">
        <v>1806.107620263685</v>
      </c>
      <c r="T245" s="631">
        <v>1925.1796668829509</v>
      </c>
      <c r="U245" s="617">
        <v>1003652.3051090257</v>
      </c>
      <c r="V245" s="631">
        <v>1165.1559446834249</v>
      </c>
      <c r="W245" s="617">
        <v>569871.63546067593</v>
      </c>
      <c r="X245" s="631">
        <v>628.94318069007534</v>
      </c>
      <c r="Y245" s="617">
        <v>2302.9422753069744</v>
      </c>
      <c r="Z245" s="631">
        <v>169.9323783045744</v>
      </c>
      <c r="AA245" s="617">
        <v>1806.107620263685</v>
      </c>
      <c r="AB245" s="631">
        <v>4050.0793264967992</v>
      </c>
      <c r="AC245" s="617">
        <v>20798.90122809256</v>
      </c>
      <c r="AD245" s="631">
        <v>3884.1346667242196</v>
      </c>
      <c r="AE245" s="617">
        <v>11423.68110475202</v>
      </c>
      <c r="AF245" s="631">
        <v>3852.8348597288805</v>
      </c>
      <c r="AG245" s="617">
        <v>9704.6331208343418</v>
      </c>
      <c r="AH245" s="631">
        <v>6858.6469486868755</v>
      </c>
      <c r="AI245" s="617">
        <v>6545.1427557250745</v>
      </c>
      <c r="AJ245" s="631">
        <v>2643.5588840952046</v>
      </c>
      <c r="AK245" s="617">
        <v>7112.1277403933764</v>
      </c>
      <c r="AL245" s="631">
        <v>158676.76810102159</v>
      </c>
      <c r="AM245" s="617">
        <v>6436.1178474561948</v>
      </c>
      <c r="AN245" s="631">
        <v>7041.613111288606</v>
      </c>
      <c r="AO245" s="617">
        <v>6436.1178474561948</v>
      </c>
      <c r="AP245" s="631">
        <v>7782.5418535085</v>
      </c>
      <c r="AQ245" s="617">
        <v>9728.6625815114166</v>
      </c>
      <c r="AR245" s="631">
        <v>4050.0793264967992</v>
      </c>
      <c r="AS245" s="617">
        <v>20798.90122809256</v>
      </c>
      <c r="AT245" s="631">
        <v>11526.081322937138</v>
      </c>
      <c r="AU245" s="617">
        <v>41090.98130225511</v>
      </c>
      <c r="AV245" s="631">
        <v>4937.0516816718218</v>
      </c>
      <c r="AW245" s="617">
        <v>-41034.817880977243</v>
      </c>
      <c r="AX245" s="631">
        <v>44931.698814187876</v>
      </c>
      <c r="AY245" s="617">
        <v>18907.720563783398</v>
      </c>
      <c r="AZ245" s="631">
        <v>11526.081322937138</v>
      </c>
      <c r="BA245" s="617">
        <v>41090.98130225511</v>
      </c>
      <c r="BB245" s="631">
        <v>6984.5969549483107</v>
      </c>
      <c r="BC245" s="617">
        <v>-42852.188869297584</v>
      </c>
      <c r="BD245" s="631">
        <v>3681.1051891366351</v>
      </c>
      <c r="BE245" s="617">
        <v>-14422.455000726522</v>
      </c>
      <c r="BF245" s="631">
        <v>6368.5327620800863</v>
      </c>
      <c r="BG245" s="617">
        <v>20362.597217659768</v>
      </c>
      <c r="BH245" s="631">
        <v>5519.8648819811142</v>
      </c>
      <c r="BI245" s="617">
        <v>3740.7001661578365</v>
      </c>
      <c r="BJ245" s="631">
        <v>1930.074756565821</v>
      </c>
      <c r="BK245" s="617">
        <v>3836.5182558166844</v>
      </c>
      <c r="BL245" s="631">
        <v>18043.716120257883</v>
      </c>
      <c r="BM245" s="617">
        <v>2274.3520201919132</v>
      </c>
      <c r="BN245" s="631">
        <v>1365.0496635459976</v>
      </c>
      <c r="BO245" s="617">
        <v>370.94861167025118</v>
      </c>
      <c r="BP245" s="631">
        <v>4081.7677203046728</v>
      </c>
      <c r="BQ245" s="617">
        <v>7311.2540163794374</v>
      </c>
      <c r="BR245" s="631">
        <v>431.11602191714394</v>
      </c>
      <c r="BS245" s="617">
        <v>6954.3134004044141</v>
      </c>
      <c r="BT245" s="631">
        <v>6686.9635785108558</v>
      </c>
      <c r="BU245" s="617">
        <v>35361.454689202146</v>
      </c>
      <c r="BV245" s="631">
        <v>3887.4780636828532</v>
      </c>
      <c r="BW245" s="617">
        <v>8831.2171507720523</v>
      </c>
      <c r="BX245" s="631">
        <v>2851.8072215875227</v>
      </c>
      <c r="BY245" s="617">
        <v>11402.362467121591</v>
      </c>
      <c r="BZ245" s="631">
        <v>1938.9962771292699</v>
      </c>
      <c r="CA245" s="617">
        <v>521.28904672616432</v>
      </c>
      <c r="CB245" s="631">
        <v>6984.5969549483107</v>
      </c>
      <c r="CC245" s="617">
        <v>-42852.188869297584</v>
      </c>
      <c r="CD245" s="631">
        <v>4050.0793264967992</v>
      </c>
      <c r="CE245" s="251">
        <v>20798.90122809256</v>
      </c>
      <c r="CF245" s="658">
        <v>462.57573664977758</v>
      </c>
      <c r="CG245" s="617">
        <v>2098.7642749257379</v>
      </c>
      <c r="CH245" s="658">
        <v>614.00798537128071</v>
      </c>
      <c r="CI245" s="617">
        <v>2250.2034040055437</v>
      </c>
      <c r="CJ245" s="658">
        <v>1395.0154213362503</v>
      </c>
      <c r="CK245" s="617">
        <v>3031.2463252191428</v>
      </c>
      <c r="CL245" s="658">
        <v>1009.0634992824521</v>
      </c>
      <c r="CM245" s="617">
        <v>2645.2768673529026</v>
      </c>
      <c r="CN245" s="658">
        <v>1805.238495655158</v>
      </c>
      <c r="CO245" s="617">
        <v>3441.4880381157591</v>
      </c>
      <c r="CP245" s="658">
        <v>169.9323783045744</v>
      </c>
      <c r="CQ245" s="617">
        <v>1806.107620263685</v>
      </c>
      <c r="CR245" s="658">
        <v>11526.081322937138</v>
      </c>
      <c r="CS245" s="617">
        <v>41090.98130225511</v>
      </c>
      <c r="CT245" s="658">
        <v>1323.5308231110789</v>
      </c>
      <c r="CU245" s="617">
        <v>-41034.817880977243</v>
      </c>
      <c r="CV245" s="658">
        <v>1817.6314973527992</v>
      </c>
      <c r="CW245" s="617">
        <v>-41034.817880977243</v>
      </c>
      <c r="CX245" s="658">
        <v>3745.4153814035981</v>
      </c>
      <c r="CY245" s="617">
        <v>-41034.817880977243</v>
      </c>
      <c r="CZ245" s="658">
        <v>2877.0259789834399</v>
      </c>
      <c r="DA245" s="617">
        <v>-41034.817880977243</v>
      </c>
      <c r="DB245" s="658">
        <v>4937.0516816718218</v>
      </c>
      <c r="DC245" s="617">
        <v>-41034.817880977243</v>
      </c>
      <c r="DD245" s="658">
        <v>545.9958205039128</v>
      </c>
      <c r="DE245" s="617">
        <v>-41034.817880977243</v>
      </c>
      <c r="DF245" s="658">
        <v>44931.698814187876</v>
      </c>
      <c r="DG245" s="617">
        <v>18907.720563783398</v>
      </c>
      <c r="DH245" s="658">
        <v>27717.874391381043</v>
      </c>
      <c r="DI245" s="617">
        <v>18907.720563783398</v>
      </c>
      <c r="DJ245" s="658">
        <v>27754.620371058947</v>
      </c>
      <c r="DK245" s="617">
        <v>18907.720563783398</v>
      </c>
      <c r="DL245" s="658">
        <v>199541.94049320347</v>
      </c>
      <c r="DM245" s="617">
        <v>18907.720563783398</v>
      </c>
      <c r="DN245" s="658">
        <v>-38682.499595724847</v>
      </c>
      <c r="DO245" s="617">
        <v>18907.720563783398</v>
      </c>
      <c r="DP245" s="658">
        <v>-38194.564943006117</v>
      </c>
      <c r="DQ245" s="617">
        <v>18907.720563783398</v>
      </c>
      <c r="DR245" s="658">
        <v>-35131.479436749578</v>
      </c>
      <c r="DS245" s="617">
        <v>18907.720563783398</v>
      </c>
      <c r="DT245" s="658">
        <v>-35989.031963154805</v>
      </c>
      <c r="DU245" s="617">
        <v>18907.720563783398</v>
      </c>
      <c r="DV245" s="658">
        <v>-33954.713901606927</v>
      </c>
      <c r="DW245" s="617">
        <v>18907.720563783398</v>
      </c>
      <c r="DX245" s="658">
        <v>-38290.972539536553</v>
      </c>
      <c r="DY245" s="617">
        <v>18907.720563783398</v>
      </c>
      <c r="DZ245" s="658">
        <v>-17235.182049262592</v>
      </c>
      <c r="EA245" s="617">
        <v>18907.720563783398</v>
      </c>
      <c r="EB245" s="658">
        <v>1872.4392517907545</v>
      </c>
      <c r="EC245" s="617">
        <v>-42852.188869297584</v>
      </c>
      <c r="ED245" s="658">
        <v>2571.4584817409645</v>
      </c>
      <c r="EE245" s="617">
        <v>-42852.188869297584</v>
      </c>
      <c r="EF245" s="658">
        <v>5298.7528903301991</v>
      </c>
      <c r="EG245" s="617">
        <v>-42852.188869297584</v>
      </c>
      <c r="EH245" s="658">
        <v>4070.2160292780727</v>
      </c>
      <c r="EI245" s="617">
        <v>-42852.188869297584</v>
      </c>
      <c r="EJ245" s="658">
        <v>6984.5969549483107</v>
      </c>
      <c r="EK245" s="617">
        <v>-42852.188869297584</v>
      </c>
      <c r="EL245" s="658">
        <v>772.43686945054571</v>
      </c>
      <c r="EM245" s="617">
        <v>-42852.188869297584</v>
      </c>
      <c r="EN245" s="658">
        <v>648.90178284157741</v>
      </c>
      <c r="EO245" s="617">
        <v>2285.0987868833818</v>
      </c>
      <c r="EP245" s="658">
        <v>665.94128532387356</v>
      </c>
      <c r="EQ245" s="617">
        <v>1916.0887425483199</v>
      </c>
      <c r="ER245" s="631">
        <v>0</v>
      </c>
      <c r="ES245" s="617">
        <v>18290.774992064402</v>
      </c>
      <c r="ET245" s="631">
        <v>0</v>
      </c>
      <c r="EU245" s="617">
        <v>3506.5145944555593</v>
      </c>
      <c r="EV245" s="631">
        <v>0</v>
      </c>
      <c r="EW245" s="617">
        <v>10741.045283604031</v>
      </c>
      <c r="EX245" s="658">
        <v>1.6030763418356757</v>
      </c>
      <c r="EY245" s="617">
        <v>-128016.8916426202</v>
      </c>
    </row>
    <row r="246" spans="1:155" x14ac:dyDescent="0.25">
      <c r="A246" s="703" t="s">
        <v>250</v>
      </c>
      <c r="B246" s="631">
        <v>42426.363096203786</v>
      </c>
      <c r="C246" s="617">
        <v>34291.16617272023</v>
      </c>
      <c r="D246" s="631">
        <v>42426.363096203786</v>
      </c>
      <c r="E246" s="617">
        <v>48655.094591408313</v>
      </c>
      <c r="F246" s="631">
        <v>3529.0782863182753</v>
      </c>
      <c r="G246" s="617">
        <v>257133.43231755419</v>
      </c>
      <c r="H246" s="631">
        <v>3529.0782863182753</v>
      </c>
      <c r="I246" s="617">
        <v>271497.36073624226</v>
      </c>
      <c r="J246" s="631">
        <v>42426.363096203786</v>
      </c>
      <c r="K246" s="617">
        <v>34291.16617272023</v>
      </c>
      <c r="L246" s="631">
        <v>82039.793500938715</v>
      </c>
      <c r="M246" s="617">
        <v>583723.74413355242</v>
      </c>
      <c r="N246" s="631">
        <v>77389.196473200005</v>
      </c>
      <c r="O246" s="617">
        <v>46147.023263720024</v>
      </c>
      <c r="P246" s="631">
        <v>58242.168331212662</v>
      </c>
      <c r="Q246" s="617">
        <v>572736.19644253398</v>
      </c>
      <c r="R246" s="631">
        <v>2496.7308796680845</v>
      </c>
      <c r="S246" s="617">
        <v>5309.9752177733717</v>
      </c>
      <c r="T246" s="631">
        <v>3416.7557828622284</v>
      </c>
      <c r="U246" s="617">
        <v>6230.0419225061814</v>
      </c>
      <c r="V246" s="631">
        <v>3018.3841368885078</v>
      </c>
      <c r="W246" s="617">
        <v>5831.6521764271893</v>
      </c>
      <c r="X246" s="631">
        <v>68068.253181710636</v>
      </c>
      <c r="Y246" s="617">
        <v>672521.58527774375</v>
      </c>
      <c r="Z246" s="631">
        <v>2496.7308796680845</v>
      </c>
      <c r="AA246" s="617">
        <v>5309.9752177733717</v>
      </c>
      <c r="AB246" s="631">
        <v>19135.48924680852</v>
      </c>
      <c r="AC246" s="617">
        <v>183662.63154665811</v>
      </c>
      <c r="AD246" s="631">
        <v>49867.462461771676</v>
      </c>
      <c r="AE246" s="617">
        <v>157162.43292896761</v>
      </c>
      <c r="AF246" s="631">
        <v>88617.344755876053</v>
      </c>
      <c r="AG246" s="617">
        <v>191832.80597839033</v>
      </c>
      <c r="AH246" s="631">
        <v>130386.52121270803</v>
      </c>
      <c r="AI246" s="617">
        <v>193937.97818699965</v>
      </c>
      <c r="AJ246" s="631">
        <v>69271.470392965086</v>
      </c>
      <c r="AK246" s="617">
        <v>169241.94017684952</v>
      </c>
      <c r="AL246" s="631">
        <v>491941.10985563439</v>
      </c>
      <c r="AM246" s="617">
        <v>153046.50239837053</v>
      </c>
      <c r="AN246" s="631">
        <v>10478.530037995652</v>
      </c>
      <c r="AO246" s="617">
        <v>153046.50239837053</v>
      </c>
      <c r="AP246" s="631">
        <v>64184.60663676745</v>
      </c>
      <c r="AQ246" s="617">
        <v>188247.62302697106</v>
      </c>
      <c r="AR246" s="631">
        <v>19135.48924680852</v>
      </c>
      <c r="AS246" s="617">
        <v>183662.63154665811</v>
      </c>
      <c r="AT246" s="631">
        <v>143016.2200018802</v>
      </c>
      <c r="AU246" s="617">
        <v>453082.40045111708</v>
      </c>
      <c r="AV246" s="631">
        <v>53621.327146310185</v>
      </c>
      <c r="AW246" s="617">
        <v>94257.606891962845</v>
      </c>
      <c r="AX246" s="631">
        <v>508885.4320635685</v>
      </c>
      <c r="AY246" s="617">
        <v>110818.81966724274</v>
      </c>
      <c r="AZ246" s="631">
        <v>143016.2200018802</v>
      </c>
      <c r="BA246" s="617">
        <v>453082.40045111708</v>
      </c>
      <c r="BB246" s="631">
        <v>75859.720022128924</v>
      </c>
      <c r="BC246" s="617">
        <v>172482.80685591741</v>
      </c>
      <c r="BD246" s="631">
        <v>39980.490044178601</v>
      </c>
      <c r="BE246" s="617">
        <v>684070.37554911198</v>
      </c>
      <c r="BF246" s="631">
        <v>69168.645721337278</v>
      </c>
      <c r="BG246" s="617">
        <v>116011.03457420533</v>
      </c>
      <c r="BH246" s="631">
        <v>59951.262357438027</v>
      </c>
      <c r="BI246" s="617">
        <v>56963.469560630874</v>
      </c>
      <c r="BJ246" s="631">
        <v>73229.452902093966</v>
      </c>
      <c r="BK246" s="617">
        <v>137907.74871834496</v>
      </c>
      <c r="BL246" s="631">
        <v>98540.460502437665</v>
      </c>
      <c r="BM246" s="617">
        <v>139468.22903250158</v>
      </c>
      <c r="BN246" s="631">
        <v>51791.693407525199</v>
      </c>
      <c r="BO246" s="617">
        <v>54032.548976679864</v>
      </c>
      <c r="BP246" s="631">
        <v>44332.086511922062</v>
      </c>
      <c r="BQ246" s="617">
        <v>193946.94922146117</v>
      </c>
      <c r="BR246" s="631">
        <v>6334.1706588191673</v>
      </c>
      <c r="BS246" s="617">
        <v>182041.5547234689</v>
      </c>
      <c r="BT246" s="631">
        <v>82972.193887416361</v>
      </c>
      <c r="BU246" s="617">
        <v>148528.42056421074</v>
      </c>
      <c r="BV246" s="631">
        <v>63120.139735618985</v>
      </c>
      <c r="BW246" s="617">
        <v>219043.65966823703</v>
      </c>
      <c r="BX246" s="631">
        <v>52607.745788405453</v>
      </c>
      <c r="BY246" s="617">
        <v>217642.77552039345</v>
      </c>
      <c r="BZ246" s="631">
        <v>73567.946562867292</v>
      </c>
      <c r="CA246" s="617">
        <v>6152.7639379547863</v>
      </c>
      <c r="CB246" s="631">
        <v>75859.720022128924</v>
      </c>
      <c r="CC246" s="617">
        <v>172482.80685591741</v>
      </c>
      <c r="CD246" s="631">
        <v>19135.48924680852</v>
      </c>
      <c r="CE246" s="251">
        <v>183662.63154665811</v>
      </c>
      <c r="CF246" s="658">
        <v>7928.0812320065088</v>
      </c>
      <c r="CG246" s="659">
        <v>10741.572344737462</v>
      </c>
      <c r="CH246" s="658">
        <v>10234.058343301785</v>
      </c>
      <c r="CI246" s="659">
        <v>13047.654228621785</v>
      </c>
      <c r="CJ246" s="658">
        <v>22650.563394991568</v>
      </c>
      <c r="CK246" s="659">
        <v>25464.72342701309</v>
      </c>
      <c r="CL246" s="658">
        <v>18614.356416791517</v>
      </c>
      <c r="CM246" s="659">
        <v>21428.333062840586</v>
      </c>
      <c r="CN246" s="658">
        <v>19606.698530621648</v>
      </c>
      <c r="CO246" s="659">
        <v>22420.720263958006</v>
      </c>
      <c r="CP246" s="658">
        <v>2496.7308796680845</v>
      </c>
      <c r="CQ246" s="659">
        <v>5309.9752177733717</v>
      </c>
      <c r="CR246" s="658">
        <v>143016.2200018802</v>
      </c>
      <c r="CS246" s="617">
        <v>453082.40045111708</v>
      </c>
      <c r="CT246" s="658">
        <v>22683.982421312154</v>
      </c>
      <c r="CU246" s="617">
        <v>94257.606891962845</v>
      </c>
      <c r="CV246" s="658">
        <v>30295.610535558997</v>
      </c>
      <c r="CW246" s="617">
        <v>94257.606891962845</v>
      </c>
      <c r="CX246" s="658">
        <v>60813.498718026101</v>
      </c>
      <c r="CY246" s="617">
        <v>94257.606891962845</v>
      </c>
      <c r="CZ246" s="658">
        <v>53072.960255968705</v>
      </c>
      <c r="DA246" s="617">
        <v>94257.606891962845</v>
      </c>
      <c r="DB246" s="658">
        <v>53621.327146310185</v>
      </c>
      <c r="DC246" s="617">
        <v>94257.606891962845</v>
      </c>
      <c r="DD246" s="658">
        <v>8022.0417016615829</v>
      </c>
      <c r="DE246" s="617">
        <v>94257.606891962845</v>
      </c>
      <c r="DF246" s="658">
        <v>508885.4320635685</v>
      </c>
      <c r="DG246" s="617">
        <v>110818.81966724274</v>
      </c>
      <c r="DH246" s="658">
        <v>498745.42464515584</v>
      </c>
      <c r="DI246" s="617">
        <v>110818.81966724274</v>
      </c>
      <c r="DJ246" s="658">
        <v>493240.74135070096</v>
      </c>
      <c r="DK246" s="617">
        <v>110818.81966724274</v>
      </c>
      <c r="DL246" s="658">
        <v>647210.54099687131</v>
      </c>
      <c r="DM246" s="617">
        <v>110818.81966724274</v>
      </c>
      <c r="DN246" s="658">
        <v>19265.236617112852</v>
      </c>
      <c r="DO246" s="617">
        <v>110818.81966724274</v>
      </c>
      <c r="DP246" s="658">
        <v>26781.877079603393</v>
      </c>
      <c r="DQ246" s="617">
        <v>110818.81966724274</v>
      </c>
      <c r="DR246" s="658">
        <v>78982.71989018927</v>
      </c>
      <c r="DS246" s="617">
        <v>110818.81966724274</v>
      </c>
      <c r="DT246" s="658">
        <v>71338.777788438063</v>
      </c>
      <c r="DU246" s="617">
        <v>110818.81966724274</v>
      </c>
      <c r="DV246" s="658">
        <v>71880.301453856751</v>
      </c>
      <c r="DW246" s="617">
        <v>110818.81966724274</v>
      </c>
      <c r="DX246" s="658">
        <v>26850.062339525553</v>
      </c>
      <c r="DY246" s="617">
        <v>110818.81966724274</v>
      </c>
      <c r="DZ246" s="658">
        <v>194815.64969138525</v>
      </c>
      <c r="EA246" s="617">
        <v>110818.81966724274</v>
      </c>
      <c r="EB246" s="658">
        <v>32091.718856049367</v>
      </c>
      <c r="EC246" s="617">
        <v>172482.80685591741</v>
      </c>
      <c r="ED246" s="658">
        <v>42860.120318471309</v>
      </c>
      <c r="EE246" s="617">
        <v>172482.80685591741</v>
      </c>
      <c r="EF246" s="658">
        <v>86034.70357471396</v>
      </c>
      <c r="EG246" s="617">
        <v>172482.80685591741</v>
      </c>
      <c r="EH246" s="658">
        <v>75083.928728168539</v>
      </c>
      <c r="EI246" s="617">
        <v>172482.80685591741</v>
      </c>
      <c r="EJ246" s="658">
        <v>75859.720022128924</v>
      </c>
      <c r="EK246" s="617">
        <v>172482.80685591741</v>
      </c>
      <c r="EL246" s="658">
        <v>11349.026029016648</v>
      </c>
      <c r="EM246" s="617">
        <v>172482.80685591741</v>
      </c>
      <c r="EN246" s="658">
        <v>13472.859396069787</v>
      </c>
      <c r="EO246" s="659">
        <v>16286.602437044545</v>
      </c>
      <c r="EP246" s="658">
        <v>7871.5599044276751</v>
      </c>
      <c r="EQ246" s="659">
        <v>3998.5134182189686</v>
      </c>
      <c r="ER246" s="631">
        <v>0</v>
      </c>
      <c r="ES246" s="617">
        <v>242285.01080109124</v>
      </c>
      <c r="ET246" s="631">
        <v>0</v>
      </c>
      <c r="EU246" s="617">
        <v>169000.61272163675</v>
      </c>
      <c r="EV246" s="631">
        <v>0</v>
      </c>
      <c r="EW246" s="617">
        <v>223084.81887427438</v>
      </c>
      <c r="EX246" s="658">
        <v>60.822723613976905</v>
      </c>
      <c r="EY246" s="617">
        <v>-141564.98308336828</v>
      </c>
    </row>
    <row r="247" spans="1:155" x14ac:dyDescent="0.25">
      <c r="A247" s="703" t="s">
        <v>2350</v>
      </c>
      <c r="B247" s="631">
        <v>10559.413607614832</v>
      </c>
      <c r="C247" s="617">
        <v>21756.031167519708</v>
      </c>
      <c r="D247" s="631">
        <v>10559.413607614832</v>
      </c>
      <c r="E247" s="617">
        <v>26143.480409221393</v>
      </c>
      <c r="F247" s="631">
        <v>30560.173344880619</v>
      </c>
      <c r="G247" s="617">
        <v>26951.653168161691</v>
      </c>
      <c r="H247" s="631">
        <v>30560.173344880619</v>
      </c>
      <c r="I247" s="617">
        <v>31339.102409863375</v>
      </c>
      <c r="J247" s="631">
        <v>10559.413607614832</v>
      </c>
      <c r="K247" s="617">
        <v>21756.031167519708</v>
      </c>
      <c r="L247" s="631">
        <v>562.65918852897255</v>
      </c>
      <c r="M247" s="617">
        <v>3832.6030687962925</v>
      </c>
      <c r="N247" s="631">
        <v>534.24274294654515</v>
      </c>
      <c r="O247" s="617">
        <v>3884.7887362048614</v>
      </c>
      <c r="P247" s="631">
        <v>1165.682024834447</v>
      </c>
      <c r="Q247" s="617">
        <v>4223.6304131745055</v>
      </c>
      <c r="R247" s="631">
        <v>21620.525895948183</v>
      </c>
      <c r="S247" s="617">
        <v>25218.614726020769</v>
      </c>
      <c r="T247" s="631">
        <v>13800.502675725131</v>
      </c>
      <c r="U247" s="617">
        <v>17398.236201282703</v>
      </c>
      <c r="V247" s="631">
        <v>17186.580064475507</v>
      </c>
      <c r="W247" s="617">
        <v>20784.467437221319</v>
      </c>
      <c r="X247" s="631">
        <v>8716.1365860618389</v>
      </c>
      <c r="Y247" s="617">
        <v>12207.868754788975</v>
      </c>
      <c r="Z247" s="631">
        <v>21620.525895948183</v>
      </c>
      <c r="AA247" s="617">
        <v>25218.614726020769</v>
      </c>
      <c r="AB247" s="631">
        <v>22243.70334618344</v>
      </c>
      <c r="AC247" s="617">
        <v>11543.943655214942</v>
      </c>
      <c r="AD247" s="631">
        <v>41095.172047421569</v>
      </c>
      <c r="AE247" s="617">
        <v>40062.280850547526</v>
      </c>
      <c r="AF247" s="631">
        <v>29656.272779204086</v>
      </c>
      <c r="AG247" s="617">
        <v>11747.160983260866</v>
      </c>
      <c r="AH247" s="631">
        <v>115235.26744243498</v>
      </c>
      <c r="AI247" s="617">
        <v>13764.746307605114</v>
      </c>
      <c r="AJ247" s="631">
        <v>44589.857070645383</v>
      </c>
      <c r="AK247" s="617">
        <v>17068.514632760271</v>
      </c>
      <c r="AL247" s="631">
        <v>92935.526589161658</v>
      </c>
      <c r="AM247" s="617">
        <v>4593.7876210108798</v>
      </c>
      <c r="AN247" s="631">
        <v>4041.9362900274323</v>
      </c>
      <c r="AO247" s="617">
        <v>4593.7876210108798</v>
      </c>
      <c r="AP247" s="631">
        <v>60879.245718065453</v>
      </c>
      <c r="AQ247" s="617">
        <v>9947.7519012408866</v>
      </c>
      <c r="AR247" s="631">
        <v>22243.70334618344</v>
      </c>
      <c r="AS247" s="617">
        <v>11543.943655214942</v>
      </c>
      <c r="AT247" s="631">
        <v>64592.705436041215</v>
      </c>
      <c r="AU247" s="617">
        <v>-23382.685915216931</v>
      </c>
      <c r="AV247" s="631">
        <v>75446.625586205453</v>
      </c>
      <c r="AW247" s="617">
        <v>17576.868530721196</v>
      </c>
      <c r="AX247" s="631">
        <v>55094.055770084815</v>
      </c>
      <c r="AY247" s="617">
        <v>4540.6787140703082</v>
      </c>
      <c r="AZ247" s="631">
        <v>64592.705436041215</v>
      </c>
      <c r="BA247" s="617">
        <v>-23382.685915216931</v>
      </c>
      <c r="BB247" s="631">
        <v>106736.63257097831</v>
      </c>
      <c r="BC247" s="617">
        <v>17485.954323332793</v>
      </c>
      <c r="BD247" s="631">
        <v>56253.606981522156</v>
      </c>
      <c r="BE247" s="617">
        <v>7309.5447313758186</v>
      </c>
      <c r="BF247" s="631">
        <v>97322.114049945274</v>
      </c>
      <c r="BG247" s="617">
        <v>10985.576584559023</v>
      </c>
      <c r="BH247" s="631">
        <v>84353.011855903853</v>
      </c>
      <c r="BI247" s="617">
        <v>7975.4522173267233</v>
      </c>
      <c r="BJ247" s="631">
        <v>139952.73698144039</v>
      </c>
      <c r="BK247" s="617">
        <v>4602.0924399744372</v>
      </c>
      <c r="BL247" s="631">
        <v>134487.22341618646</v>
      </c>
      <c r="BM247" s="617">
        <v>4627.2343348155082</v>
      </c>
      <c r="BN247" s="631">
        <v>98981.8844472005</v>
      </c>
      <c r="BO247" s="617">
        <v>4430.3023978913807</v>
      </c>
      <c r="BP247" s="631">
        <v>62376.418311951667</v>
      </c>
      <c r="BQ247" s="617">
        <v>17749.842673118757</v>
      </c>
      <c r="BR247" s="631">
        <v>54850.966066699642</v>
      </c>
      <c r="BS247" s="617">
        <v>17128.896388507375</v>
      </c>
      <c r="BT247" s="631">
        <v>37474.060488254596</v>
      </c>
      <c r="BU247" s="617">
        <v>6003.5116026114265</v>
      </c>
      <c r="BV247" s="631">
        <v>39589.354728595317</v>
      </c>
      <c r="BW247" s="617">
        <v>11767.908989776239</v>
      </c>
      <c r="BX247" s="631">
        <v>27595.303887249109</v>
      </c>
      <c r="BY247" s="617">
        <v>11526.640442068585</v>
      </c>
      <c r="BZ247" s="631">
        <v>140599.65038033511</v>
      </c>
      <c r="CA247" s="617">
        <v>4402.2354596570021</v>
      </c>
      <c r="CB247" s="631">
        <v>106736.63257097831</v>
      </c>
      <c r="CC247" s="617">
        <v>17485.954323332793</v>
      </c>
      <c r="CD247" s="631">
        <v>22243.70334618344</v>
      </c>
      <c r="CE247" s="251">
        <v>11543.943655214942</v>
      </c>
      <c r="CF247" s="658">
        <v>21806.344740704477</v>
      </c>
      <c r="CG247" s="617">
        <v>25404.442013498097</v>
      </c>
      <c r="CH247" s="658">
        <v>27044.661727986739</v>
      </c>
      <c r="CI247" s="617">
        <v>30642.997004891633</v>
      </c>
      <c r="CJ247" s="658">
        <v>14206.578008268149</v>
      </c>
      <c r="CK247" s="617">
        <v>17804.329983949847</v>
      </c>
      <c r="CL247" s="658">
        <v>9764.1291085340126</v>
      </c>
      <c r="CM247" s="617">
        <v>13361.679240550115</v>
      </c>
      <c r="CN247" s="658">
        <v>27587.143432409579</v>
      </c>
      <c r="CO247" s="617">
        <v>31185.503357092806</v>
      </c>
      <c r="CP247" s="658">
        <v>21620.525895948183</v>
      </c>
      <c r="CQ247" s="617">
        <v>25218.614726020769</v>
      </c>
      <c r="CR247" s="658">
        <v>64592.705436041215</v>
      </c>
      <c r="CS247" s="617">
        <v>-23382.685915216931</v>
      </c>
      <c r="CT247" s="658">
        <v>62392.743754218733</v>
      </c>
      <c r="CU247" s="617">
        <v>17576.868530721196</v>
      </c>
      <c r="CV247" s="658">
        <v>80059.592323242992</v>
      </c>
      <c r="CW247" s="617">
        <v>17576.868530721196</v>
      </c>
      <c r="CX247" s="658">
        <v>38142.614752107569</v>
      </c>
      <c r="CY247" s="617">
        <v>17576.868530721196</v>
      </c>
      <c r="CZ247" s="658">
        <v>27839.331347706888</v>
      </c>
      <c r="DA247" s="617">
        <v>17576.868530721196</v>
      </c>
      <c r="DB247" s="658">
        <v>75446.625586205453</v>
      </c>
      <c r="DC247" s="617">
        <v>17576.868530721196</v>
      </c>
      <c r="DD247" s="658">
        <v>69467.142719125666</v>
      </c>
      <c r="DE247" s="617">
        <v>17576.868530721196</v>
      </c>
      <c r="DF247" s="658">
        <v>55094.055770084815</v>
      </c>
      <c r="DG247" s="617">
        <v>4540.6787140703082</v>
      </c>
      <c r="DH247" s="658">
        <v>54933.77949059425</v>
      </c>
      <c r="DI247" s="617">
        <v>4540.6787140703082</v>
      </c>
      <c r="DJ247" s="658">
        <v>55461.456741018905</v>
      </c>
      <c r="DK247" s="617">
        <v>4540.6787140703082</v>
      </c>
      <c r="DL247" s="658">
        <v>52024.901794369129</v>
      </c>
      <c r="DM247" s="617">
        <v>4540.6787140703082</v>
      </c>
      <c r="DN247" s="658">
        <v>88136.026993798747</v>
      </c>
      <c r="DO247" s="617">
        <v>4540.6787140703082</v>
      </c>
      <c r="DP247" s="658">
        <v>105582.40598202926</v>
      </c>
      <c r="DQ247" s="617">
        <v>4540.6787140703082</v>
      </c>
      <c r="DR247" s="658">
        <v>65148.774685561686</v>
      </c>
      <c r="DS247" s="617">
        <v>4540.6787140703082</v>
      </c>
      <c r="DT247" s="658">
        <v>54974.068857636652</v>
      </c>
      <c r="DU247" s="617">
        <v>4540.6787140703082</v>
      </c>
      <c r="DV247" s="658">
        <v>101987.25825833809</v>
      </c>
      <c r="DW247" s="617">
        <v>4540.6787140703082</v>
      </c>
      <c r="DX247" s="658">
        <v>96082.395042630655</v>
      </c>
      <c r="DY247" s="617">
        <v>4540.6787140703082</v>
      </c>
      <c r="DZ247" s="658">
        <v>-21341.343135123174</v>
      </c>
      <c r="EA247" s="617">
        <v>4540.6787140703082</v>
      </c>
      <c r="EB247" s="658">
        <v>88268.909489927901</v>
      </c>
      <c r="EC247" s="617">
        <v>17485.954323332793</v>
      </c>
      <c r="ED247" s="658">
        <v>113262.73671212024</v>
      </c>
      <c r="EE247" s="617">
        <v>17485.954323332793</v>
      </c>
      <c r="EF247" s="658">
        <v>53961.515501316964</v>
      </c>
      <c r="EG247" s="617">
        <v>17485.954323332793</v>
      </c>
      <c r="EH247" s="658">
        <v>39385.147552910683</v>
      </c>
      <c r="EI247" s="617">
        <v>17485.954323332793</v>
      </c>
      <c r="EJ247" s="658">
        <v>106736.63257097831</v>
      </c>
      <c r="EK247" s="617">
        <v>17485.954323332793</v>
      </c>
      <c r="EL247" s="658">
        <v>98277.276558843456</v>
      </c>
      <c r="EM247" s="617">
        <v>17485.954323332793</v>
      </c>
      <c r="EN247" s="658">
        <v>25212.278447440036</v>
      </c>
      <c r="EO247" s="617">
        <v>28810.530469598176</v>
      </c>
      <c r="EP247" s="658">
        <v>97319.544312663216</v>
      </c>
      <c r="EQ247" s="617">
        <v>14422.745252313041</v>
      </c>
      <c r="ER247" s="631">
        <v>0</v>
      </c>
      <c r="ES247" s="617">
        <v>8813.6818514168317</v>
      </c>
      <c r="ET247" s="631">
        <v>0</v>
      </c>
      <c r="EU247" s="617">
        <v>40752.208112010558</v>
      </c>
      <c r="EV247" s="631">
        <v>0</v>
      </c>
      <c r="EW247" s="617">
        <v>26076.597938639774</v>
      </c>
      <c r="EX247" s="658">
        <v>116.2415708857269</v>
      </c>
      <c r="EY247" s="617">
        <v>-297.25883049990574</v>
      </c>
    </row>
    <row r="248" spans="1:155" x14ac:dyDescent="0.25">
      <c r="A248" s="703" t="s">
        <v>2351</v>
      </c>
      <c r="B248" s="631">
        <v>18.689131581536152</v>
      </c>
      <c r="C248" s="617">
        <v>2.0752803302878569</v>
      </c>
      <c r="D248" s="631">
        <v>18.689131581536152</v>
      </c>
      <c r="E248" s="617">
        <v>2.3890522648074151</v>
      </c>
      <c r="F248" s="631">
        <v>0.68118866288168867</v>
      </c>
      <c r="G248" s="617">
        <v>9.9525824221889057</v>
      </c>
      <c r="H248" s="631">
        <v>0.68118866288168867</v>
      </c>
      <c r="I248" s="617">
        <v>10.266354356708465</v>
      </c>
      <c r="J248" s="631">
        <v>18.689131581536152</v>
      </c>
      <c r="K248" s="617">
        <v>2.0752803302878569</v>
      </c>
      <c r="L248" s="631">
        <v>2.1076081597926817</v>
      </c>
      <c r="M248" s="617">
        <v>2.2790127313208566</v>
      </c>
      <c r="N248" s="631">
        <v>0.1735126902796702</v>
      </c>
      <c r="O248" s="617">
        <v>0.60922873905317654</v>
      </c>
      <c r="P248" s="631">
        <v>10.148156491267398</v>
      </c>
      <c r="Q248" s="617">
        <v>5.9693071003306004</v>
      </c>
      <c r="R248" s="631">
        <v>0.48192321946783118</v>
      </c>
      <c r="S248" s="617">
        <v>0.99773969965136078</v>
      </c>
      <c r="T248" s="631">
        <v>3.8624533410229009</v>
      </c>
      <c r="U248" s="617">
        <v>4.3784234163533391</v>
      </c>
      <c r="V248" s="631">
        <v>2.3986806277929413</v>
      </c>
      <c r="W248" s="617">
        <v>2.9145841962807109</v>
      </c>
      <c r="X248" s="631">
        <v>2.296393558845113</v>
      </c>
      <c r="Y248" s="617">
        <v>2.7844257361455633</v>
      </c>
      <c r="Z248" s="631">
        <v>0.48192321946783118</v>
      </c>
      <c r="AA248" s="617">
        <v>0.99773969965136078</v>
      </c>
      <c r="AB248" s="631">
        <v>625.61764478688406</v>
      </c>
      <c r="AC248" s="617">
        <v>8.8518790295012408</v>
      </c>
      <c r="AD248" s="631">
        <v>9.1166215582029935</v>
      </c>
      <c r="AE248" s="617">
        <v>7.1387483609147964</v>
      </c>
      <c r="AF248" s="631">
        <v>11.656961880190163</v>
      </c>
      <c r="AG248" s="617">
        <v>7.0410792473536477</v>
      </c>
      <c r="AH248" s="631">
        <v>20.255724996262671</v>
      </c>
      <c r="AI248" s="617">
        <v>6.2463473609248528</v>
      </c>
      <c r="AJ248" s="631">
        <v>10.337173559613486</v>
      </c>
      <c r="AK248" s="617">
        <v>6.3870143184231374</v>
      </c>
      <c r="AL248" s="631">
        <v>47.390829342778169</v>
      </c>
      <c r="AM248" s="617">
        <v>5.9100820238505856</v>
      </c>
      <c r="AN248" s="631">
        <v>36.472981010052713</v>
      </c>
      <c r="AO248" s="617">
        <v>5.9100820238505856</v>
      </c>
      <c r="AP248" s="631">
        <v>6.9662018181952661</v>
      </c>
      <c r="AQ248" s="617">
        <v>6.9979847584133106</v>
      </c>
      <c r="AR248" s="631">
        <v>625.61764478688406</v>
      </c>
      <c r="AS248" s="617">
        <v>8.8518790295012408</v>
      </c>
      <c r="AT248" s="631">
        <v>808.25381491217286</v>
      </c>
      <c r="AU248" s="617">
        <v>-456.41243719367384</v>
      </c>
      <c r="AV248" s="631">
        <v>10.277036557409865</v>
      </c>
      <c r="AW248" s="617">
        <v>208.61752800615642</v>
      </c>
      <c r="AX248" s="631">
        <v>456.67671027785065</v>
      </c>
      <c r="AY248" s="617">
        <v>19.572467934264534</v>
      </c>
      <c r="AZ248" s="631">
        <v>808.25381491217286</v>
      </c>
      <c r="BA248" s="617">
        <v>-456.41243719367384</v>
      </c>
      <c r="BB248" s="631">
        <v>14.539235736837659</v>
      </c>
      <c r="BC248" s="617">
        <v>267.04450541458522</v>
      </c>
      <c r="BD248" s="631">
        <v>7.6626405878777</v>
      </c>
      <c r="BE248" s="617">
        <v>86.018141295541511</v>
      </c>
      <c r="BF248" s="631">
        <v>13.256827805941951</v>
      </c>
      <c r="BG248" s="617">
        <v>121.99595135581522</v>
      </c>
      <c r="BH248" s="631">
        <v>11.490228752248587</v>
      </c>
      <c r="BI248" s="617">
        <v>118.41321182093239</v>
      </c>
      <c r="BJ248" s="631">
        <v>27.60890028781105</v>
      </c>
      <c r="BK248" s="617">
        <v>894.31314154552183</v>
      </c>
      <c r="BL248" s="631">
        <v>28.002571681980168</v>
      </c>
      <c r="BM248" s="617">
        <v>376.19412740653036</v>
      </c>
      <c r="BN248" s="631">
        <v>19.526456123289659</v>
      </c>
      <c r="BO248" s="617">
        <v>1.9348745175389006</v>
      </c>
      <c r="BP248" s="631">
        <v>8.4966653754415908</v>
      </c>
      <c r="BQ248" s="617">
        <v>114.7919897533797</v>
      </c>
      <c r="BR248" s="631">
        <v>1.2226323395185557</v>
      </c>
      <c r="BS248" s="617">
        <v>109.49734265552001</v>
      </c>
      <c r="BT248" s="631">
        <v>468.91598897142649</v>
      </c>
      <c r="BU248" s="617">
        <v>13.674243951545289</v>
      </c>
      <c r="BV248" s="631">
        <v>9.5162880207323362</v>
      </c>
      <c r="BW248" s="617">
        <v>49.532172283903343</v>
      </c>
      <c r="BX248" s="631">
        <v>6.5340744771070511</v>
      </c>
      <c r="BY248" s="617">
        <v>48.169931511770706</v>
      </c>
      <c r="BZ248" s="631">
        <v>27.736518853265057</v>
      </c>
      <c r="CA248" s="617">
        <v>0.45557521412740759</v>
      </c>
      <c r="CB248" s="631">
        <v>14.539235736837659</v>
      </c>
      <c r="CC248" s="617">
        <v>267.04450541458522</v>
      </c>
      <c r="CD248" s="631">
        <v>625.61764478688406</v>
      </c>
      <c r="CE248" s="251">
        <v>8.8518790295012408</v>
      </c>
      <c r="CF248" s="658">
        <v>1.3068996338216168</v>
      </c>
      <c r="CG248" s="617">
        <v>1.8227535969942052</v>
      </c>
      <c r="CH248" s="658">
        <v>1.5370619373379326</v>
      </c>
      <c r="CI248" s="617">
        <v>2.0529263579865824</v>
      </c>
      <c r="CJ248" s="658">
        <v>3.4149050683574624</v>
      </c>
      <c r="CK248" s="617">
        <v>3.9308548092314051</v>
      </c>
      <c r="CL248" s="658">
        <v>2.311971162192195</v>
      </c>
      <c r="CM248" s="617">
        <v>2.8278707910158802</v>
      </c>
      <c r="CN248" s="658">
        <v>3.7578099665363967</v>
      </c>
      <c r="CO248" s="617">
        <v>4.2737752873715635</v>
      </c>
      <c r="CP248" s="658">
        <v>0.48192321946783118</v>
      </c>
      <c r="CQ248" s="617">
        <v>0.99773969965136078</v>
      </c>
      <c r="CR248" s="658">
        <v>808.25381491217286</v>
      </c>
      <c r="CS248" s="617">
        <v>-456.41243719367384</v>
      </c>
      <c r="CT248" s="658">
        <v>3.7393270140000623</v>
      </c>
      <c r="CU248" s="617">
        <v>208.61752800615642</v>
      </c>
      <c r="CV248" s="658">
        <v>4.5501235444001082</v>
      </c>
      <c r="CW248" s="617">
        <v>208.61752800615642</v>
      </c>
      <c r="CX248" s="658">
        <v>9.1685280129790243</v>
      </c>
      <c r="CY248" s="617">
        <v>208.61752800615642</v>
      </c>
      <c r="CZ248" s="658">
        <v>6.591855815830673</v>
      </c>
      <c r="DA248" s="617">
        <v>208.61752800615642</v>
      </c>
      <c r="DB248" s="658">
        <v>10.277036557409865</v>
      </c>
      <c r="DC248" s="617">
        <v>208.61752800615642</v>
      </c>
      <c r="DD248" s="658">
        <v>1.5484280644952439</v>
      </c>
      <c r="DE248" s="617">
        <v>208.61752800615642</v>
      </c>
      <c r="DF248" s="658">
        <v>456.67671027785065</v>
      </c>
      <c r="DG248" s="617">
        <v>19.572467934264534</v>
      </c>
      <c r="DH248" s="658">
        <v>447.40226096950687</v>
      </c>
      <c r="DI248" s="617">
        <v>19.572467934264534</v>
      </c>
      <c r="DJ248" s="658">
        <v>459.69735031098475</v>
      </c>
      <c r="DK248" s="617">
        <v>19.572467934264534</v>
      </c>
      <c r="DL248" s="658">
        <v>435.02374018330914</v>
      </c>
      <c r="DM248" s="617">
        <v>19.572467934264534</v>
      </c>
      <c r="DN248" s="658">
        <v>142.17564296653924</v>
      </c>
      <c r="DO248" s="617">
        <v>19.572467934264534</v>
      </c>
      <c r="DP248" s="658">
        <v>142.97632133860063</v>
      </c>
      <c r="DQ248" s="617">
        <v>19.572467934264534</v>
      </c>
      <c r="DR248" s="658">
        <v>182.80527751275093</v>
      </c>
      <c r="DS248" s="617">
        <v>19.572467934264534</v>
      </c>
      <c r="DT248" s="658">
        <v>180.26076033390873</v>
      </c>
      <c r="DU248" s="617">
        <v>19.572467934264534</v>
      </c>
      <c r="DV248" s="658">
        <v>183.89995266674197</v>
      </c>
      <c r="DW248" s="617">
        <v>19.572467934264534</v>
      </c>
      <c r="DX248" s="658">
        <v>175.28027093842985</v>
      </c>
      <c r="DY248" s="617">
        <v>19.572467934264534</v>
      </c>
      <c r="DZ248" s="658">
        <v>153.23022980242885</v>
      </c>
      <c r="EA248" s="617">
        <v>19.572467934264534</v>
      </c>
      <c r="EB248" s="658">
        <v>5.2901394920574587</v>
      </c>
      <c r="EC248" s="617">
        <v>267.04450541458522</v>
      </c>
      <c r="ED248" s="658">
        <v>6.4371979679365552</v>
      </c>
      <c r="EE248" s="617">
        <v>267.04450541458522</v>
      </c>
      <c r="EF248" s="658">
        <v>12.970995033036878</v>
      </c>
      <c r="EG248" s="617">
        <v>267.04450541458522</v>
      </c>
      <c r="EH248" s="658">
        <v>9.3256986208251149</v>
      </c>
      <c r="EI248" s="617">
        <v>267.04450541458522</v>
      </c>
      <c r="EJ248" s="658">
        <v>14.539235736837659</v>
      </c>
      <c r="EK248" s="617">
        <v>267.04450541458522</v>
      </c>
      <c r="EL248" s="658">
        <v>2.1906082094258492</v>
      </c>
      <c r="EM248" s="617">
        <v>267.04450541458522</v>
      </c>
      <c r="EN248" s="658">
        <v>2.5557614326316829</v>
      </c>
      <c r="EO248" s="617">
        <v>3.071672138121174</v>
      </c>
      <c r="EP248" s="658">
        <v>2.0292082135466263</v>
      </c>
      <c r="EQ248" s="617">
        <v>0.79738604071653696</v>
      </c>
      <c r="ER248" s="631">
        <v>0</v>
      </c>
      <c r="ES248" s="689">
        <v>9.4120219352882213</v>
      </c>
      <c r="ET248" s="631">
        <v>0</v>
      </c>
      <c r="EU248" s="689">
        <v>6.0695932987953904</v>
      </c>
      <c r="EV248" s="631">
        <v>0</v>
      </c>
      <c r="EW248" s="689">
        <v>7.6865859683377842</v>
      </c>
      <c r="EX248" s="658">
        <v>24.193830425327548</v>
      </c>
      <c r="EY248" s="617">
        <v>-32.852410182281709</v>
      </c>
    </row>
    <row r="249" spans="1:155" x14ac:dyDescent="0.25">
      <c r="A249" s="703" t="s">
        <v>254</v>
      </c>
      <c r="B249" s="636">
        <v>3.7140376581436518</v>
      </c>
      <c r="C249" s="613">
        <v>3.1362062166890174</v>
      </c>
      <c r="D249" s="636">
        <v>3.7140376581436518</v>
      </c>
      <c r="E249" s="613">
        <v>3.3354136280602202</v>
      </c>
      <c r="F249" s="636">
        <v>0.80642634733254615</v>
      </c>
      <c r="G249" s="613">
        <v>5.9699548322648015</v>
      </c>
      <c r="H249" s="636">
        <v>0.80642634733254615</v>
      </c>
      <c r="I249" s="613">
        <v>6.1691622436360039</v>
      </c>
      <c r="J249" s="636">
        <v>3.7140376581436518</v>
      </c>
      <c r="K249" s="613">
        <v>3.1362062166890174</v>
      </c>
      <c r="L249" s="636">
        <v>7.7005820946249743</v>
      </c>
      <c r="M249" s="613">
        <v>6.288002230692463</v>
      </c>
      <c r="N249" s="636">
        <v>7.3830287190739812</v>
      </c>
      <c r="O249" s="613">
        <v>2.3989551539534619</v>
      </c>
      <c r="P249" s="636">
        <v>-22.99278136137243</v>
      </c>
      <c r="Q249" s="613">
        <v>-10.115703469861433</v>
      </c>
      <c r="R249" s="636">
        <v>0.54159436763418656</v>
      </c>
      <c r="S249" s="613">
        <v>1.7407997891608651</v>
      </c>
      <c r="T249" s="636">
        <v>7.3216657182889158</v>
      </c>
      <c r="U249" s="613">
        <v>8.521179193883361</v>
      </c>
      <c r="V249" s="636">
        <v>4.3858884644316865</v>
      </c>
      <c r="W249" s="613">
        <v>5.5852685523258643</v>
      </c>
      <c r="X249" s="636">
        <v>6.9849891733649008</v>
      </c>
      <c r="Y249" s="613">
        <v>8.0997244842915528</v>
      </c>
      <c r="Z249" s="636">
        <v>0.54159436763418656</v>
      </c>
      <c r="AA249" s="613">
        <v>1.7407997891608651</v>
      </c>
      <c r="AB249" s="636">
        <v>2.3782388931368419</v>
      </c>
      <c r="AC249" s="613">
        <v>18.808597087822459</v>
      </c>
      <c r="AD249" s="636">
        <v>6.1788821924385759</v>
      </c>
      <c r="AE249" s="613">
        <v>5.227114957170703</v>
      </c>
      <c r="AF249" s="636">
        <v>11.640617248697847</v>
      </c>
      <c r="AG249" s="613">
        <v>68.52785795701557</v>
      </c>
      <c r="AH249" s="636">
        <v>17.84576227072797</v>
      </c>
      <c r="AI249" s="613">
        <v>88.518438453655563</v>
      </c>
      <c r="AJ249" s="636">
        <v>9.4867303943680668</v>
      </c>
      <c r="AK249" s="613">
        <v>29.017139450229823</v>
      </c>
      <c r="AL249" s="636">
        <v>17.46016287610367</v>
      </c>
      <c r="AM249" s="613">
        <v>2.9313987008486402</v>
      </c>
      <c r="AN249" s="636">
        <v>0.22933418600143751</v>
      </c>
      <c r="AO249" s="613">
        <v>2.9313987008486402</v>
      </c>
      <c r="AP249" s="636">
        <v>9.1056455052959357</v>
      </c>
      <c r="AQ249" s="613">
        <v>28.628644161504639</v>
      </c>
      <c r="AR249" s="636">
        <v>2.3782388931368419</v>
      </c>
      <c r="AS249" s="613">
        <v>18.808597087822459</v>
      </c>
      <c r="AT249" s="636">
        <v>18.061674637058278</v>
      </c>
      <c r="AU249" s="613">
        <v>-8.1979936946065717</v>
      </c>
      <c r="AV249" s="636">
        <v>6.742607786061928</v>
      </c>
      <c r="AW249" s="613">
        <v>66.121082856588785</v>
      </c>
      <c r="AX249" s="636">
        <v>67.860053352375587</v>
      </c>
      <c r="AY249" s="613">
        <v>2.5435796117609115</v>
      </c>
      <c r="AZ249" s="636">
        <v>18.061674637058278</v>
      </c>
      <c r="BA249" s="613">
        <v>-8.1979936946065717</v>
      </c>
      <c r="BB249" s="636">
        <v>9.5389720115288412</v>
      </c>
      <c r="BC249" s="613">
        <v>11.744399154654714</v>
      </c>
      <c r="BD249" s="636">
        <v>5.0273422499763702</v>
      </c>
      <c r="BE249" s="613">
        <v>11.938202378565613</v>
      </c>
      <c r="BF249" s="636">
        <v>8.6976036217734745</v>
      </c>
      <c r="BG249" s="613">
        <v>8.5677714618103682</v>
      </c>
      <c r="BH249" s="636">
        <v>7.538564781370189</v>
      </c>
      <c r="BI249" s="613">
        <v>5.4846681461146503</v>
      </c>
      <c r="BJ249" s="636">
        <v>221.05359284510982</v>
      </c>
      <c r="BK249" s="613">
        <v>1.6879010584724385</v>
      </c>
      <c r="BL249" s="636">
        <v>15.544973177764247</v>
      </c>
      <c r="BM249" s="613">
        <v>1.6666277685770108</v>
      </c>
      <c r="BN249" s="636">
        <v>156.34064510317356</v>
      </c>
      <c r="BO249" s="613">
        <v>0.9555647237588446</v>
      </c>
      <c r="BP249" s="636">
        <v>5.574533261216116</v>
      </c>
      <c r="BQ249" s="613">
        <v>19.66965489162536</v>
      </c>
      <c r="BR249" s="636">
        <v>1.3740171919955786</v>
      </c>
      <c r="BS249" s="613">
        <v>18.247959119738802</v>
      </c>
      <c r="BT249" s="636">
        <v>10.478648994482784</v>
      </c>
      <c r="BU249" s="613">
        <v>6.8681790079588989</v>
      </c>
      <c r="BV249" s="636">
        <v>7.6998747364784643</v>
      </c>
      <c r="BW249" s="613">
        <v>19.109423518549537</v>
      </c>
      <c r="BX249" s="636">
        <v>6.4327129602877173</v>
      </c>
      <c r="BY249" s="613">
        <v>18.571744177217465</v>
      </c>
      <c r="BZ249" s="636">
        <v>222.07538444540043</v>
      </c>
      <c r="CA249" s="613">
        <v>0.18360235872967751</v>
      </c>
      <c r="CB249" s="636">
        <v>9.5389720115288412</v>
      </c>
      <c r="CC249" s="613">
        <v>11.744399154654714</v>
      </c>
      <c r="CD249" s="636">
        <v>2.3782388931368419</v>
      </c>
      <c r="CE249" s="614">
        <v>18.808597087822459</v>
      </c>
      <c r="CF249" s="662">
        <v>1.2783442922094164</v>
      </c>
      <c r="CG249" s="613">
        <v>2.4775831881347341</v>
      </c>
      <c r="CH249" s="662">
        <v>1.7473693117005418</v>
      </c>
      <c r="CI249" s="613">
        <v>2.9466295178831805</v>
      </c>
      <c r="CJ249" s="662">
        <v>2.7630880030146865</v>
      </c>
      <c r="CK249" s="613">
        <v>3.9623943586046666</v>
      </c>
      <c r="CL249" s="662">
        <v>2.2761061128017395</v>
      </c>
      <c r="CM249" s="613">
        <v>3.4753903422599359</v>
      </c>
      <c r="CN249" s="662">
        <v>2.4654421143068546</v>
      </c>
      <c r="CO249" s="613">
        <v>3.6647349462888918</v>
      </c>
      <c r="CP249" s="662">
        <v>0.54159436763418656</v>
      </c>
      <c r="CQ249" s="613">
        <v>1.7407997891608651</v>
      </c>
      <c r="CR249" s="662">
        <v>18.061674637058278</v>
      </c>
      <c r="CS249" s="613">
        <v>-8.1979936946065717</v>
      </c>
      <c r="CT249" s="662">
        <v>3.657623907257074</v>
      </c>
      <c r="CU249" s="613">
        <v>66.121082856588785</v>
      </c>
      <c r="CV249" s="662">
        <v>5.1726908674226211</v>
      </c>
      <c r="CW249" s="613">
        <v>66.121082856588785</v>
      </c>
      <c r="CX249" s="662">
        <v>7.4184931208502292</v>
      </c>
      <c r="CY249" s="613">
        <v>66.121082856588785</v>
      </c>
      <c r="CZ249" s="662">
        <v>6.4895979510805946</v>
      </c>
      <c r="DA249" s="613">
        <v>66.121082856588785</v>
      </c>
      <c r="DB249" s="662">
        <v>6.742607786061928</v>
      </c>
      <c r="DC249" s="613">
        <v>66.121082856588785</v>
      </c>
      <c r="DD249" s="662">
        <v>1.7401525482490428</v>
      </c>
      <c r="DE249" s="613">
        <v>66.121082856588785</v>
      </c>
      <c r="DF249" s="662">
        <v>67.860053352375587</v>
      </c>
      <c r="DG249" s="613">
        <v>2.5435796117609115</v>
      </c>
      <c r="DH249" s="662">
        <v>67.222650634522296</v>
      </c>
      <c r="DI249" s="613">
        <v>2.5435796117609115</v>
      </c>
      <c r="DJ249" s="662">
        <v>67.576018987644986</v>
      </c>
      <c r="DK249" s="613">
        <v>2.5435796117609115</v>
      </c>
      <c r="DL249" s="662">
        <v>70.575378393856056</v>
      </c>
      <c r="DM249" s="613">
        <v>2.5435796117609115</v>
      </c>
      <c r="DN249" s="662">
        <v>41.926054375317996</v>
      </c>
      <c r="DO249" s="613">
        <v>2.5435796117609115</v>
      </c>
      <c r="DP249" s="662">
        <v>43.447673546830501</v>
      </c>
      <c r="DQ249" s="613">
        <v>2.5435796117609115</v>
      </c>
      <c r="DR249" s="662">
        <v>46.485768558994643</v>
      </c>
      <c r="DS249" s="613">
        <v>2.5435796117609115</v>
      </c>
      <c r="DT249" s="662">
        <v>45.60186395161827</v>
      </c>
      <c r="DU249" s="613">
        <v>2.5435796117609115</v>
      </c>
      <c r="DV249" s="662">
        <v>45.826351939511135</v>
      </c>
      <c r="DW249" s="613">
        <v>2.5435796117609115</v>
      </c>
      <c r="DX249" s="662">
        <v>40.976003707377068</v>
      </c>
      <c r="DY249" s="613">
        <v>2.5435796117609115</v>
      </c>
      <c r="DZ249" s="662">
        <v>42.511598124609229</v>
      </c>
      <c r="EA249" s="613">
        <v>2.5435796117609115</v>
      </c>
      <c r="EB249" s="662">
        <v>5.1745516255813158</v>
      </c>
      <c r="EC249" s="613">
        <v>11.744399154654714</v>
      </c>
      <c r="ED249" s="662">
        <v>7.3179628675174495</v>
      </c>
      <c r="EE249" s="613">
        <v>11.744399154654714</v>
      </c>
      <c r="EF249" s="662">
        <v>10.495167521651192</v>
      </c>
      <c r="EG249" s="613">
        <v>11.744399154654714</v>
      </c>
      <c r="EH249" s="662">
        <v>9.1810313139374049</v>
      </c>
      <c r="EI249" s="613">
        <v>11.744399154654714</v>
      </c>
      <c r="EJ249" s="662">
        <v>9.5389720115288412</v>
      </c>
      <c r="EK249" s="613">
        <v>11.744399154654714</v>
      </c>
      <c r="EL249" s="662">
        <v>2.4618466593669597</v>
      </c>
      <c r="EM249" s="613">
        <v>11.744399154654714</v>
      </c>
      <c r="EN249" s="662">
        <v>2.0313164422070615</v>
      </c>
      <c r="EO249" s="613">
        <v>3.2305895495914809</v>
      </c>
      <c r="EP249" s="662">
        <v>7.1665934103036726</v>
      </c>
      <c r="EQ249" s="613">
        <v>1.9955421226774492</v>
      </c>
      <c r="ER249" s="636">
        <v>0</v>
      </c>
      <c r="ES249" s="613">
        <v>4.1464755571531091</v>
      </c>
      <c r="ET249" s="636">
        <v>0</v>
      </c>
      <c r="EU249" s="613">
        <v>5.0920607783321898</v>
      </c>
      <c r="EV249" s="636">
        <v>0</v>
      </c>
      <c r="EW249" s="613">
        <v>4.0775389892790574</v>
      </c>
      <c r="EX249" s="662">
        <v>193.71047323334037</v>
      </c>
      <c r="EY249" s="613">
        <v>-1.2162690940011096</v>
      </c>
    </row>
    <row r="250" spans="1:155" x14ac:dyDescent="0.25">
      <c r="A250" s="703" t="s">
        <v>251</v>
      </c>
      <c r="B250" s="636">
        <v>7.5372286138659108</v>
      </c>
      <c r="C250" s="613">
        <v>2.5750490957926964</v>
      </c>
      <c r="D250" s="636">
        <v>7.5372286138659108</v>
      </c>
      <c r="E250" s="613">
        <v>3.2682246641412744</v>
      </c>
      <c r="F250" s="636">
        <v>5.9962990491101129</v>
      </c>
      <c r="G250" s="613">
        <v>11.38970862624476</v>
      </c>
      <c r="H250" s="636">
        <v>5.9962990491101129</v>
      </c>
      <c r="I250" s="613">
        <v>12.082884194593339</v>
      </c>
      <c r="J250" s="636">
        <v>7.5372286138659108</v>
      </c>
      <c r="K250" s="613">
        <v>2.5750490957926964</v>
      </c>
      <c r="L250" s="636">
        <v>17.569485518384575</v>
      </c>
      <c r="M250" s="613">
        <v>10.993428933449824</v>
      </c>
      <c r="N250" s="636">
        <v>16.016790544774445</v>
      </c>
      <c r="O250" s="613">
        <v>-29.182121247784885</v>
      </c>
      <c r="P250" s="636">
        <v>-37.759623398745603</v>
      </c>
      <c r="Q250" s="613">
        <v>-18.180151978518317</v>
      </c>
      <c r="R250" s="636">
        <v>4.2339192425534069</v>
      </c>
      <c r="S250" s="613">
        <v>7.0542637985440635</v>
      </c>
      <c r="T250" s="636">
        <v>1.7542122132851741</v>
      </c>
      <c r="U250" s="613">
        <v>2.5133504612300062</v>
      </c>
      <c r="V250" s="636">
        <v>2.8279276826736446</v>
      </c>
      <c r="W250" s="613">
        <v>3.5871147151224827</v>
      </c>
      <c r="X250" s="636">
        <v>22.999737313786458</v>
      </c>
      <c r="Y250" s="613">
        <v>23.480738965372279</v>
      </c>
      <c r="Z250" s="636">
        <v>4.2339192425534069</v>
      </c>
      <c r="AA250" s="613">
        <v>7.0542637985440635</v>
      </c>
      <c r="AB250" s="636">
        <v>10.128086495189329</v>
      </c>
      <c r="AC250" s="613">
        <v>8.472686077302976</v>
      </c>
      <c r="AD250" s="636">
        <v>13.533005771191039</v>
      </c>
      <c r="AE250" s="613">
        <v>12.174021958866664</v>
      </c>
      <c r="AF250" s="636">
        <v>18.121701210465616</v>
      </c>
      <c r="AG250" s="613">
        <v>8.2398729930111188</v>
      </c>
      <c r="AH250" s="636">
        <v>42.024108636844545</v>
      </c>
      <c r="AI250" s="613">
        <v>93.329866327295477</v>
      </c>
      <c r="AJ250" s="636">
        <v>18.832706306268193</v>
      </c>
      <c r="AK250" s="613">
        <v>8.3193375912593694</v>
      </c>
      <c r="AL250" s="636">
        <v>80.944214700656232</v>
      </c>
      <c r="AM250" s="613">
        <v>5.6631312041996171</v>
      </c>
      <c r="AN250" s="636">
        <v>1.2212380684974682</v>
      </c>
      <c r="AO250" s="613">
        <v>5.6631312041996171</v>
      </c>
      <c r="AP250" s="636">
        <v>24.712383850623457</v>
      </c>
      <c r="AQ250" s="613">
        <v>8.0379198948942854</v>
      </c>
      <c r="AR250" s="636">
        <v>10.128086495189329</v>
      </c>
      <c r="AS250" s="613">
        <v>8.472686077302976</v>
      </c>
      <c r="AT250" s="636">
        <v>37.844380880983337</v>
      </c>
      <c r="AU250" s="613">
        <v>8.8870440995406934</v>
      </c>
      <c r="AV250" s="636">
        <v>19.077578296757483</v>
      </c>
      <c r="AW250" s="613">
        <v>138.59378218776908</v>
      </c>
      <c r="AX250" s="636">
        <v>48.231198327490858</v>
      </c>
      <c r="AY250" s="613">
        <v>130.17455310436463</v>
      </c>
      <c r="AZ250" s="636">
        <v>37.844380880983337</v>
      </c>
      <c r="BA250" s="613">
        <v>8.8870440995406934</v>
      </c>
      <c r="BB250" s="636">
        <v>26.989629412629206</v>
      </c>
      <c r="BC250" s="613">
        <v>169.36914630441746</v>
      </c>
      <c r="BD250" s="636">
        <v>14.224394839750545</v>
      </c>
      <c r="BE250" s="613">
        <v>87.669251198490471</v>
      </c>
      <c r="BF250" s="636">
        <v>24.609056221770416</v>
      </c>
      <c r="BG250" s="613">
        <v>122.74961252478475</v>
      </c>
      <c r="BH250" s="636">
        <v>21.329664192994088</v>
      </c>
      <c r="BI250" s="613">
        <v>70.947025235063293</v>
      </c>
      <c r="BJ250" s="636">
        <v>2760.1173772326865</v>
      </c>
      <c r="BK250" s="613">
        <v>4.8995804208336331</v>
      </c>
      <c r="BL250" s="636">
        <v>40.322390686792581</v>
      </c>
      <c r="BM250" s="613">
        <v>4.7352515331207599</v>
      </c>
      <c r="BN250" s="636">
        <v>1952.0991528031786</v>
      </c>
      <c r="BO250" s="613">
        <v>3.3249734329890455</v>
      </c>
      <c r="BP250" s="636">
        <v>15.772620643687626</v>
      </c>
      <c r="BQ250" s="613">
        <v>29.661774113509932</v>
      </c>
      <c r="BR250" s="636">
        <v>10.741392777405368</v>
      </c>
      <c r="BS250" s="613">
        <v>26.004753231107049</v>
      </c>
      <c r="BT250" s="636">
        <v>21.955770527041629</v>
      </c>
      <c r="BU250" s="613">
        <v>25.436201390859893</v>
      </c>
      <c r="BV250" s="636">
        <v>15.666398753735285</v>
      </c>
      <c r="BW250" s="613">
        <v>30.793821840193747</v>
      </c>
      <c r="BX250" s="636">
        <v>11.341961597517237</v>
      </c>
      <c r="BY250" s="613">
        <v>30.679585049738851</v>
      </c>
      <c r="BZ250" s="636">
        <v>2772.8756622963847</v>
      </c>
      <c r="CA250" s="613">
        <v>0.83116659042637586</v>
      </c>
      <c r="CB250" s="636">
        <v>26.989629412629206</v>
      </c>
      <c r="CC250" s="613">
        <v>169.36914630441746</v>
      </c>
      <c r="CD250" s="636">
        <v>10.128086495189329</v>
      </c>
      <c r="CE250" s="614">
        <v>8.472686077302976</v>
      </c>
      <c r="CF250" s="662">
        <v>5.8077959431386583</v>
      </c>
      <c r="CG250" s="613">
        <v>8.6282120085714293</v>
      </c>
      <c r="CH250" s="662">
        <v>7.552013579302292</v>
      </c>
      <c r="CI250" s="613">
        <v>10.372508893655924</v>
      </c>
      <c r="CJ250" s="662">
        <v>5.6218626832737009</v>
      </c>
      <c r="CK250" s="613">
        <v>8.4422703007869639</v>
      </c>
      <c r="CL250" s="662">
        <v>4.0131602766427346</v>
      </c>
      <c r="CM250" s="613">
        <v>6.8334948024000912</v>
      </c>
      <c r="CN250" s="662">
        <v>6.9757379435654956</v>
      </c>
      <c r="CO250" s="613">
        <v>9.7962070747059169</v>
      </c>
      <c r="CP250" s="662">
        <v>4.2339192425534069</v>
      </c>
      <c r="CQ250" s="613">
        <v>7.0542637985440635</v>
      </c>
      <c r="CR250" s="662">
        <v>37.844380880983337</v>
      </c>
      <c r="CS250" s="613">
        <v>8.8870440995406934</v>
      </c>
      <c r="CT250" s="662">
        <v>16.617380325123435</v>
      </c>
      <c r="CU250" s="613">
        <v>138.59378218776908</v>
      </c>
      <c r="CV250" s="662">
        <v>22.356024802960075</v>
      </c>
      <c r="CW250" s="613">
        <v>138.59378218776908</v>
      </c>
      <c r="CX250" s="662">
        <v>15.093891181434403</v>
      </c>
      <c r="CY250" s="613">
        <v>138.59378218776908</v>
      </c>
      <c r="CZ250" s="662">
        <v>11.442259463290355</v>
      </c>
      <c r="DA250" s="613">
        <v>138.59378218776908</v>
      </c>
      <c r="DB250" s="662">
        <v>19.077578296757483</v>
      </c>
      <c r="DC250" s="613">
        <v>138.59378218776908</v>
      </c>
      <c r="DD250" s="662">
        <v>13.603659490023297</v>
      </c>
      <c r="DE250" s="613">
        <v>138.59378218776908</v>
      </c>
      <c r="DF250" s="662">
        <v>48.231198327490858</v>
      </c>
      <c r="DG250" s="613">
        <v>130.17455310436463</v>
      </c>
      <c r="DH250" s="662">
        <v>47.244961708103467</v>
      </c>
      <c r="DI250" s="613">
        <v>130.17455310436463</v>
      </c>
      <c r="DJ250" s="662">
        <v>47.230179278976884</v>
      </c>
      <c r="DK250" s="613">
        <v>130.17455310436463</v>
      </c>
      <c r="DL250" s="662">
        <v>57.23371767100965</v>
      </c>
      <c r="DM250" s="613">
        <v>130.17455310436463</v>
      </c>
      <c r="DN250" s="662">
        <v>190.62986017593622</v>
      </c>
      <c r="DO250" s="613">
        <v>130.17455310436463</v>
      </c>
      <c r="DP250" s="662">
        <v>196.70057576771288</v>
      </c>
      <c r="DQ250" s="613">
        <v>130.17455310436463</v>
      </c>
      <c r="DR250" s="662">
        <v>189.26871366706638</v>
      </c>
      <c r="DS250" s="613">
        <v>130.17455310436463</v>
      </c>
      <c r="DT250" s="662">
        <v>186.19222654147799</v>
      </c>
      <c r="DU250" s="613">
        <v>130.17455310436463</v>
      </c>
      <c r="DV250" s="662">
        <v>193.33007827076702</v>
      </c>
      <c r="DW250" s="613">
        <v>130.17455310436463</v>
      </c>
      <c r="DX250" s="662">
        <v>189.34645253855021</v>
      </c>
      <c r="DY250" s="613">
        <v>130.17455310436463</v>
      </c>
      <c r="DZ250" s="662">
        <v>177.76196693966142</v>
      </c>
      <c r="EA250" s="613">
        <v>130.17455310436463</v>
      </c>
      <c r="EB250" s="662">
        <v>23.509112624636742</v>
      </c>
      <c r="EC250" s="613">
        <v>169.36914630441746</v>
      </c>
      <c r="ED250" s="662">
        <v>31.627747253119271</v>
      </c>
      <c r="EE250" s="613">
        <v>169.36914630441746</v>
      </c>
      <c r="EF250" s="662">
        <v>21.353786263883741</v>
      </c>
      <c r="EG250" s="613">
        <v>169.36914630441746</v>
      </c>
      <c r="EH250" s="662">
        <v>16.187711970226598</v>
      </c>
      <c r="EI250" s="613">
        <v>169.36914630441746</v>
      </c>
      <c r="EJ250" s="662">
        <v>26.989629412629206</v>
      </c>
      <c r="EK250" s="613">
        <v>169.36914630441746</v>
      </c>
      <c r="EL250" s="662">
        <v>19.245510230914846</v>
      </c>
      <c r="EM250" s="613">
        <v>169.36914630441746</v>
      </c>
      <c r="EN250" s="662">
        <v>7.2597637344971702</v>
      </c>
      <c r="EO250" s="613">
        <v>10.080245770413327</v>
      </c>
      <c r="EP250" s="662">
        <v>16.475744573054829</v>
      </c>
      <c r="EQ250" s="613">
        <v>4.6637208824616811</v>
      </c>
      <c r="ER250" s="636">
        <v>0</v>
      </c>
      <c r="ES250" s="613">
        <v>11.035541241274805</v>
      </c>
      <c r="ET250" s="636">
        <v>0</v>
      </c>
      <c r="EU250" s="613">
        <v>10.923104632678779</v>
      </c>
      <c r="EV250" s="636">
        <v>0</v>
      </c>
      <c r="EW250" s="613">
        <v>13.322920193857094</v>
      </c>
      <c r="EX250" s="662">
        <v>2418.7059637521647</v>
      </c>
      <c r="EY250" s="613">
        <v>-8.3147250759509763</v>
      </c>
    </row>
    <row r="251" spans="1:155" x14ac:dyDescent="0.25">
      <c r="A251" s="703" t="s">
        <v>2352</v>
      </c>
      <c r="B251" s="636">
        <v>11.493596315358969</v>
      </c>
      <c r="C251" s="613">
        <v>3.9942610866341086</v>
      </c>
      <c r="D251" s="636">
        <v>11.493596315358969</v>
      </c>
      <c r="E251" s="613">
        <v>4.9662086259251552</v>
      </c>
      <c r="F251" s="636">
        <v>7.7922353573942091</v>
      </c>
      <c r="G251" s="613">
        <v>16.389614930747801</v>
      </c>
      <c r="H251" s="636">
        <v>7.7922353573942091</v>
      </c>
      <c r="I251" s="613">
        <v>17.361562470038844</v>
      </c>
      <c r="J251" s="636">
        <v>11.493596315358969</v>
      </c>
      <c r="K251" s="613">
        <v>3.9942610866341086</v>
      </c>
      <c r="L251" s="636">
        <v>20.569114826658559</v>
      </c>
      <c r="M251" s="613">
        <v>14.126640868169417</v>
      </c>
      <c r="N251" s="636">
        <v>18.773425139775338</v>
      </c>
      <c r="O251" s="613">
        <v>-61.283057199428839</v>
      </c>
      <c r="P251" s="636">
        <v>-9.3450218831092453</v>
      </c>
      <c r="Q251" s="613">
        <v>-1.2692535576115229</v>
      </c>
      <c r="R251" s="636">
        <v>5.2315416324388595</v>
      </c>
      <c r="S251" s="613">
        <v>14.970199017548538</v>
      </c>
      <c r="T251" s="636">
        <v>4.8493676631853386</v>
      </c>
      <c r="U251" s="613">
        <v>6.7946536074257846</v>
      </c>
      <c r="V251" s="636">
        <v>5.0148493503127867</v>
      </c>
      <c r="W251" s="613">
        <v>6.9601428132509309</v>
      </c>
      <c r="X251" s="636">
        <v>27.160133906395611</v>
      </c>
      <c r="Y251" s="613">
        <v>28.776845226757615</v>
      </c>
      <c r="Z251" s="636">
        <v>5.2315416324388595</v>
      </c>
      <c r="AA251" s="613">
        <v>14.970199017548538</v>
      </c>
      <c r="AB251" s="636">
        <v>9.835897217332537</v>
      </c>
      <c r="AC251" s="613">
        <v>14.299992422982585</v>
      </c>
      <c r="AD251" s="636">
        <v>27.780473103282347</v>
      </c>
      <c r="AE251" s="613">
        <v>60.3768765948411</v>
      </c>
      <c r="AF251" s="636">
        <v>42.962684928704086</v>
      </c>
      <c r="AG251" s="613">
        <v>11.875962115133293</v>
      </c>
      <c r="AH251" s="636">
        <v>85.567322913499822</v>
      </c>
      <c r="AI251" s="613">
        <v>62.088090049251747</v>
      </c>
      <c r="AJ251" s="636">
        <v>41.465225461013929</v>
      </c>
      <c r="AK251" s="613">
        <v>11.554137550560615</v>
      </c>
      <c r="AL251" s="636">
        <v>65.171721195019686</v>
      </c>
      <c r="AM251" s="613">
        <v>7.8533562573803133</v>
      </c>
      <c r="AN251" s="636">
        <v>1.7233634083240634</v>
      </c>
      <c r="AO251" s="613">
        <v>7.8533562573803133</v>
      </c>
      <c r="AP251" s="636">
        <v>37.557080123529829</v>
      </c>
      <c r="AQ251" s="613">
        <v>11.600310535105377</v>
      </c>
      <c r="AR251" s="636">
        <v>9.835897217332537</v>
      </c>
      <c r="AS251" s="613">
        <v>14.299992422982585</v>
      </c>
      <c r="AT251" s="636">
        <v>86.154901072437099</v>
      </c>
      <c r="AU251" s="613">
        <v>8.761389047290935</v>
      </c>
      <c r="AV251" s="636">
        <v>17.68693904462862</v>
      </c>
      <c r="AW251" s="613">
        <v>150.33226319415826</v>
      </c>
      <c r="AX251" s="636">
        <v>99.144752171950898</v>
      </c>
      <c r="AY251" s="613">
        <v>132.97031215258781</v>
      </c>
      <c r="AZ251" s="636">
        <v>86.154901072437099</v>
      </c>
      <c r="BA251" s="613">
        <v>8.761389047290935</v>
      </c>
      <c r="BB251" s="636">
        <v>25.02224982818829</v>
      </c>
      <c r="BC251" s="613">
        <v>623.77915394648119</v>
      </c>
      <c r="BD251" s="636">
        <v>13.187523099834879</v>
      </c>
      <c r="BE251" s="613">
        <v>91.413525845442521</v>
      </c>
      <c r="BF251" s="636">
        <v>22.815205922350785</v>
      </c>
      <c r="BG251" s="613">
        <v>124.89691950104951</v>
      </c>
      <c r="BH251" s="636">
        <v>19.774861596977665</v>
      </c>
      <c r="BI251" s="613">
        <v>87.341447825255216</v>
      </c>
      <c r="BJ251" s="636">
        <v>182.20366009817965</v>
      </c>
      <c r="BK251" s="613">
        <v>6.2842912483269231</v>
      </c>
      <c r="BL251" s="636">
        <v>45.157085864181859</v>
      </c>
      <c r="BM251" s="613">
        <v>6.3265812657165741</v>
      </c>
      <c r="BN251" s="636">
        <v>128.86394377615264</v>
      </c>
      <c r="BO251" s="613">
        <v>4.8112517661967633</v>
      </c>
      <c r="BP251" s="636">
        <v>14.622892673247163</v>
      </c>
      <c r="BQ251" s="613">
        <v>31.485472131052983</v>
      </c>
      <c r="BR251" s="636">
        <v>13.272346562634141</v>
      </c>
      <c r="BS251" s="613">
        <v>26.918498050112937</v>
      </c>
      <c r="BT251" s="636">
        <v>49.983569388419362</v>
      </c>
      <c r="BU251" s="613">
        <v>35.216165597937859</v>
      </c>
      <c r="BV251" s="636">
        <v>31.849960821216552</v>
      </c>
      <c r="BW251" s="613">
        <v>29.06938487551572</v>
      </c>
      <c r="BX251" s="636">
        <v>26.42397537952619</v>
      </c>
      <c r="BY251" s="613">
        <v>29.593286031479682</v>
      </c>
      <c r="BZ251" s="636">
        <v>183.04587291650276</v>
      </c>
      <c r="CA251" s="613">
        <v>1.6047403165482148</v>
      </c>
      <c r="CB251" s="636">
        <v>25.02224982818829</v>
      </c>
      <c r="CC251" s="613">
        <v>623.77915394648119</v>
      </c>
      <c r="CD251" s="636">
        <v>9.835897217332537</v>
      </c>
      <c r="CE251" s="614">
        <v>14.299992422982585</v>
      </c>
      <c r="CF251" s="662">
        <v>8.3949620754221925</v>
      </c>
      <c r="CG251" s="613">
        <v>18.133763191251671</v>
      </c>
      <c r="CH251" s="662">
        <v>10.999330008902014</v>
      </c>
      <c r="CI251" s="613">
        <v>20.738249454774696</v>
      </c>
      <c r="CJ251" s="662">
        <v>11.429308612602178</v>
      </c>
      <c r="CK251" s="613">
        <v>21.168247594649493</v>
      </c>
      <c r="CL251" s="662">
        <v>9.3496744308597535</v>
      </c>
      <c r="CM251" s="613">
        <v>19.088518924259972</v>
      </c>
      <c r="CN251" s="662">
        <v>6.4672491382261086</v>
      </c>
      <c r="CO251" s="613">
        <v>16.205962667984423</v>
      </c>
      <c r="CP251" s="662">
        <v>5.2315416324388595</v>
      </c>
      <c r="CQ251" s="613">
        <v>14.970199017548538</v>
      </c>
      <c r="CR251" s="662">
        <v>86.154901072437099</v>
      </c>
      <c r="CS251" s="613">
        <v>8.761389047290935</v>
      </c>
      <c r="CT251" s="662">
        <v>24.019831100830331</v>
      </c>
      <c r="CU251" s="613">
        <v>150.33226319415826</v>
      </c>
      <c r="CV251" s="662">
        <v>32.561023879630596</v>
      </c>
      <c r="CW251" s="613">
        <v>150.33226319415826</v>
      </c>
      <c r="CX251" s="662">
        <v>30.686046635559467</v>
      </c>
      <c r="CY251" s="613">
        <v>150.33226319415826</v>
      </c>
      <c r="CZ251" s="662">
        <v>26.657644689109112</v>
      </c>
      <c r="DA251" s="613">
        <v>150.33226319415826</v>
      </c>
      <c r="DB251" s="662">
        <v>17.68693904462862</v>
      </c>
      <c r="DC251" s="613">
        <v>150.33226319415826</v>
      </c>
      <c r="DD251" s="662">
        <v>16.80903836339083</v>
      </c>
      <c r="DE251" s="613">
        <v>150.33226319415826</v>
      </c>
      <c r="DF251" s="662">
        <v>99.144752171950898</v>
      </c>
      <c r="DG251" s="613">
        <v>132.97031215258781</v>
      </c>
      <c r="DH251" s="662">
        <v>96.679420257398604</v>
      </c>
      <c r="DI251" s="613">
        <v>132.97031215258781</v>
      </c>
      <c r="DJ251" s="662">
        <v>96.567645984277547</v>
      </c>
      <c r="DK251" s="613">
        <v>132.97031215258781</v>
      </c>
      <c r="DL251" s="662">
        <v>122.28840943810651</v>
      </c>
      <c r="DM251" s="613">
        <v>132.97031215258781</v>
      </c>
      <c r="DN251" s="662">
        <v>279.28939213291227</v>
      </c>
      <c r="DO251" s="613">
        <v>132.97031215258781</v>
      </c>
      <c r="DP251" s="662">
        <v>290.38229871578108</v>
      </c>
      <c r="DQ251" s="613">
        <v>132.97031215258781</v>
      </c>
      <c r="DR251" s="662">
        <v>277.16280968152427</v>
      </c>
      <c r="DS251" s="613">
        <v>132.97031215258781</v>
      </c>
      <c r="DT251" s="662">
        <v>276.67197458412642</v>
      </c>
      <c r="DU251" s="613">
        <v>132.97031215258781</v>
      </c>
      <c r="DV251" s="662">
        <v>265.16480242810292</v>
      </c>
      <c r="DW251" s="613">
        <v>132.97031215258781</v>
      </c>
      <c r="DX251" s="662">
        <v>273.66173260893174</v>
      </c>
      <c r="DY251" s="613">
        <v>132.97031215258781</v>
      </c>
      <c r="DZ251" s="662">
        <v>300.47649346368303</v>
      </c>
      <c r="EA251" s="613">
        <v>132.97031215258781</v>
      </c>
      <c r="EB251" s="662">
        <v>33.981584553399095</v>
      </c>
      <c r="EC251" s="613">
        <v>623.77915394648119</v>
      </c>
      <c r="ED251" s="662">
        <v>46.065069378138354</v>
      </c>
      <c r="EE251" s="613">
        <v>623.77915394648119</v>
      </c>
      <c r="EF251" s="662">
        <v>43.412482126894112</v>
      </c>
      <c r="EG251" s="613">
        <v>623.77915394648119</v>
      </c>
      <c r="EH251" s="662">
        <v>37.713379548539677</v>
      </c>
      <c r="EI251" s="613">
        <v>623.77915394648119</v>
      </c>
      <c r="EJ251" s="662">
        <v>25.02224982818829</v>
      </c>
      <c r="EK251" s="613">
        <v>623.77915394648119</v>
      </c>
      <c r="EL251" s="662">
        <v>23.780257072130258</v>
      </c>
      <c r="EM251" s="613">
        <v>623.77915394648119</v>
      </c>
      <c r="EN251" s="662">
        <v>11.861281177040075</v>
      </c>
      <c r="EO251" s="613">
        <v>21.600239785858079</v>
      </c>
      <c r="EP251" s="662">
        <v>167.084776356823</v>
      </c>
      <c r="EQ251" s="613">
        <v>28.21824998605296</v>
      </c>
      <c r="ER251" s="636">
        <v>0</v>
      </c>
      <c r="ES251" s="613">
        <v>15.397855180657888</v>
      </c>
      <c r="ET251" s="636">
        <v>0</v>
      </c>
      <c r="EU251" s="613">
        <v>56.524892224807218</v>
      </c>
      <c r="EV251" s="636">
        <v>0</v>
      </c>
      <c r="EW251" s="613">
        <v>15.734245806838752</v>
      </c>
      <c r="EX251" s="662">
        <v>159.66606454207593</v>
      </c>
      <c r="EY251" s="613">
        <v>-15.389137321887159</v>
      </c>
    </row>
    <row r="252" spans="1:155" x14ac:dyDescent="0.25">
      <c r="A252" s="703" t="s">
        <v>252</v>
      </c>
      <c r="B252" s="636">
        <v>0.56490922820746026</v>
      </c>
      <c r="C252" s="613">
        <v>0.41137899859246962</v>
      </c>
      <c r="D252" s="636">
        <v>0.56490922820746026</v>
      </c>
      <c r="E252" s="613">
        <v>0.49377564413030928</v>
      </c>
      <c r="F252" s="636">
        <v>0.51621873105987404</v>
      </c>
      <c r="G252" s="613">
        <v>1.4226396252826112</v>
      </c>
      <c r="H252" s="636">
        <v>0.51621873105987404</v>
      </c>
      <c r="I252" s="613">
        <v>1.505036270820451</v>
      </c>
      <c r="J252" s="636">
        <v>0.56490922820746026</v>
      </c>
      <c r="K252" s="613">
        <v>0.41137899859246962</v>
      </c>
      <c r="L252" s="636">
        <v>0.37846529309092003</v>
      </c>
      <c r="M252" s="613">
        <v>1.6189743398451943</v>
      </c>
      <c r="N252" s="636">
        <v>0.35328549238007295</v>
      </c>
      <c r="O252" s="613">
        <v>-4.0702170471200976</v>
      </c>
      <c r="P252" s="636">
        <v>-4.350745557126805</v>
      </c>
      <c r="Q252" s="613">
        <v>-0.91668272546319451</v>
      </c>
      <c r="R252" s="636">
        <v>0.34347348803016431</v>
      </c>
      <c r="S252" s="613">
        <v>1.6762934218539345</v>
      </c>
      <c r="T252" s="636">
        <v>8.5076987637978547</v>
      </c>
      <c r="U252" s="613">
        <v>8.5998332559201991</v>
      </c>
      <c r="V252" s="636">
        <v>4.9725815621698057</v>
      </c>
      <c r="W252" s="613">
        <v>5.064555435446465</v>
      </c>
      <c r="X252" s="636">
        <v>0.38163782791163375</v>
      </c>
      <c r="Y252" s="613">
        <v>0.46877193426941333</v>
      </c>
      <c r="Z252" s="636">
        <v>0.34347348803016431</v>
      </c>
      <c r="AA252" s="613">
        <v>1.6762934218539345</v>
      </c>
      <c r="AB252" s="636">
        <v>0.91943221943674469</v>
      </c>
      <c r="AC252" s="613">
        <v>0.81857533153119366</v>
      </c>
      <c r="AD252" s="636">
        <v>2.2163981634593983</v>
      </c>
      <c r="AE252" s="613">
        <v>5.0224197309283003</v>
      </c>
      <c r="AF252" s="636">
        <v>3.0667965001938833</v>
      </c>
      <c r="AG252" s="613">
        <v>0.66266882527974824</v>
      </c>
      <c r="AH252" s="636">
        <v>6.2347085952081649</v>
      </c>
      <c r="AI252" s="613">
        <v>5.9586600881058267</v>
      </c>
      <c r="AJ252" s="636">
        <v>3.0322821611594724</v>
      </c>
      <c r="AK252" s="613">
        <v>0.67582028818600404</v>
      </c>
      <c r="AL252" s="636">
        <v>7.8540735312450982</v>
      </c>
      <c r="AM252" s="613">
        <v>0.44211538796553906</v>
      </c>
      <c r="AN252" s="636">
        <v>0.17646441226861218</v>
      </c>
      <c r="AO252" s="613">
        <v>0.44211538796553906</v>
      </c>
      <c r="AP252" s="636">
        <v>2.8251517395985073</v>
      </c>
      <c r="AQ252" s="613">
        <v>0.64825714285480884</v>
      </c>
      <c r="AR252" s="636">
        <v>0.91943221943674469</v>
      </c>
      <c r="AS252" s="613">
        <v>0.81857533153119366</v>
      </c>
      <c r="AT252" s="636">
        <v>4.8185859701404956</v>
      </c>
      <c r="AU252" s="613">
        <v>0.65176485698597808</v>
      </c>
      <c r="AV252" s="636">
        <v>2.858354933501396</v>
      </c>
      <c r="AW252" s="613">
        <v>0.73203168059188073</v>
      </c>
      <c r="AX252" s="636">
        <v>17.908102602723524</v>
      </c>
      <c r="AY252" s="613">
        <v>0.6160469617021489</v>
      </c>
      <c r="AZ252" s="636">
        <v>4.8185859701404956</v>
      </c>
      <c r="BA252" s="613">
        <v>0.65176485698597808</v>
      </c>
      <c r="BB252" s="636">
        <v>4.0438015341850369</v>
      </c>
      <c r="BC252" s="613">
        <v>0.69665756741275298</v>
      </c>
      <c r="BD252" s="636">
        <v>2.1312122814447187</v>
      </c>
      <c r="BE252" s="613">
        <v>1.1097597477017549</v>
      </c>
      <c r="BF252" s="636">
        <v>3.6871250724871225</v>
      </c>
      <c r="BG252" s="613">
        <v>1.0013013124209804</v>
      </c>
      <c r="BH252" s="636">
        <v>3.1957804039695694</v>
      </c>
      <c r="BI252" s="613">
        <v>0.45619044656943891</v>
      </c>
      <c r="BJ252" s="636">
        <v>236.89507425248689</v>
      </c>
      <c r="BK252" s="613">
        <v>0.38303018217604967</v>
      </c>
      <c r="BL252" s="636">
        <v>3.7492760044927875</v>
      </c>
      <c r="BM252" s="613">
        <v>0.32229192801004986</v>
      </c>
      <c r="BN252" s="636">
        <v>167.54456805571581</v>
      </c>
      <c r="BO252" s="613">
        <v>0.21345522931297284</v>
      </c>
      <c r="BP252" s="636">
        <v>2.3631798192537432</v>
      </c>
      <c r="BQ252" s="613">
        <v>1.8309622943060582</v>
      </c>
      <c r="BR252" s="636">
        <v>0.87138734401850082</v>
      </c>
      <c r="BS252" s="613">
        <v>1.5932416980541235</v>
      </c>
      <c r="BT252" s="636">
        <v>2.7955475915418919</v>
      </c>
      <c r="BU252" s="613">
        <v>2.1932012411458688</v>
      </c>
      <c r="BV252" s="636">
        <v>2.2690332813748411</v>
      </c>
      <c r="BW252" s="613">
        <v>1.5338912885628782</v>
      </c>
      <c r="BX252" s="636">
        <v>1.7026309730727087</v>
      </c>
      <c r="BY252" s="613">
        <v>1.5944946238717488</v>
      </c>
      <c r="BZ252" s="636">
        <v>237.99009104866727</v>
      </c>
      <c r="CA252" s="613">
        <v>7.2983182275637645E-2</v>
      </c>
      <c r="CB252" s="636">
        <v>4.0438015341850369</v>
      </c>
      <c r="CC252" s="613">
        <v>0.69665756741275298</v>
      </c>
      <c r="CD252" s="636">
        <v>0.91943221943674469</v>
      </c>
      <c r="CE252" s="614">
        <v>0.81857533153119366</v>
      </c>
      <c r="CF252" s="662">
        <v>0.59847711884853427</v>
      </c>
      <c r="CG252" s="613">
        <v>1.931308638819663</v>
      </c>
      <c r="CH252" s="662">
        <v>0.78905452017196731</v>
      </c>
      <c r="CI252" s="613">
        <v>2.1218946990702174</v>
      </c>
      <c r="CJ252" s="662">
        <v>0.81423904320231089</v>
      </c>
      <c r="CK252" s="613">
        <v>2.1470803663650329</v>
      </c>
      <c r="CL252" s="662">
        <v>0.60244702189898913</v>
      </c>
      <c r="CM252" s="613">
        <v>1.9352787222435563</v>
      </c>
      <c r="CN252" s="662">
        <v>1.045160693650109</v>
      </c>
      <c r="CO252" s="613">
        <v>2.3780125087899915</v>
      </c>
      <c r="CP252" s="662">
        <v>0.34347348803016431</v>
      </c>
      <c r="CQ252" s="613">
        <v>1.6762934218539345</v>
      </c>
      <c r="CR252" s="662">
        <v>4.8185859701404956</v>
      </c>
      <c r="CS252" s="613">
        <v>0.65176485698597808</v>
      </c>
      <c r="CT252" s="662">
        <v>1.7123745388367819</v>
      </c>
      <c r="CU252" s="613">
        <v>0.73203168059188073</v>
      </c>
      <c r="CV252" s="662">
        <v>2.3358170954827631</v>
      </c>
      <c r="CW252" s="613">
        <v>0.73203168059188073</v>
      </c>
      <c r="CX252" s="662">
        <v>2.1861144973064799</v>
      </c>
      <c r="CY252" s="613">
        <v>0.73203168059188073</v>
      </c>
      <c r="CZ252" s="662">
        <v>1.7176874737785286</v>
      </c>
      <c r="DA252" s="613">
        <v>0.73203168059188073</v>
      </c>
      <c r="DB252" s="662">
        <v>2.858354933501396</v>
      </c>
      <c r="DC252" s="613">
        <v>0.73203168059188073</v>
      </c>
      <c r="DD252" s="662">
        <v>1.1035865606626549</v>
      </c>
      <c r="DE252" s="613">
        <v>0.73203168059188073</v>
      </c>
      <c r="DF252" s="662">
        <v>17.908102602723524</v>
      </c>
      <c r="DG252" s="613">
        <v>0.6160469617021489</v>
      </c>
      <c r="DH252" s="662">
        <v>17.712180867504319</v>
      </c>
      <c r="DI252" s="613">
        <v>0.6160469617021489</v>
      </c>
      <c r="DJ252" s="662">
        <v>17.717325344278294</v>
      </c>
      <c r="DK252" s="613">
        <v>0.6160469617021489</v>
      </c>
      <c r="DL252" s="662">
        <v>19.627412943278909</v>
      </c>
      <c r="DM252" s="613">
        <v>0.6160469617021489</v>
      </c>
      <c r="DN252" s="662">
        <v>16.309328270782235</v>
      </c>
      <c r="DO252" s="613">
        <v>0.6160469617021489</v>
      </c>
      <c r="DP252" s="662">
        <v>16.984384257241324</v>
      </c>
      <c r="DQ252" s="613">
        <v>0.6160469617021489</v>
      </c>
      <c r="DR252" s="662">
        <v>16.715527988907986</v>
      </c>
      <c r="DS252" s="613">
        <v>0.6160469617021489</v>
      </c>
      <c r="DT252" s="662">
        <v>16.330862067918339</v>
      </c>
      <c r="DU252" s="613">
        <v>0.6160469617021489</v>
      </c>
      <c r="DV252" s="662">
        <v>17.398122180102629</v>
      </c>
      <c r="DW252" s="613">
        <v>0.6160469617021489</v>
      </c>
      <c r="DX252" s="662">
        <v>15.874465983325152</v>
      </c>
      <c r="DY252" s="613">
        <v>0.6160469617021489</v>
      </c>
      <c r="DZ252" s="662">
        <v>16.718930195999796</v>
      </c>
      <c r="EA252" s="613">
        <v>0.6160469617021489</v>
      </c>
      <c r="EB252" s="662">
        <v>2.4225482658185045</v>
      </c>
      <c r="EC252" s="613">
        <v>0.69665756741275298</v>
      </c>
      <c r="ED252" s="662">
        <v>3.3045513849878292</v>
      </c>
      <c r="EE252" s="613">
        <v>0.69665756741275298</v>
      </c>
      <c r="EF252" s="662">
        <v>3.0927625728002606</v>
      </c>
      <c r="EG252" s="613">
        <v>0.69665756741275298</v>
      </c>
      <c r="EH252" s="662">
        <v>2.4300646362372555</v>
      </c>
      <c r="EI252" s="613">
        <v>0.69665756741275298</v>
      </c>
      <c r="EJ252" s="662">
        <v>4.0438015341850369</v>
      </c>
      <c r="EK252" s="613">
        <v>0.69665756741275298</v>
      </c>
      <c r="EL252" s="662">
        <v>1.5612774238806593</v>
      </c>
      <c r="EM252" s="613">
        <v>0.69665756741275298</v>
      </c>
      <c r="EN252" s="662">
        <v>0.89509227108306966</v>
      </c>
      <c r="EO252" s="613">
        <v>2.2279372678303977</v>
      </c>
      <c r="EP252" s="662">
        <v>14.337473869562574</v>
      </c>
      <c r="EQ252" s="613">
        <v>2.9204887391670189</v>
      </c>
      <c r="ER252" s="636">
        <v>0</v>
      </c>
      <c r="ES252" s="613">
        <v>0.97006755114507859</v>
      </c>
      <c r="ET252" s="636">
        <v>0</v>
      </c>
      <c r="EU252" s="613">
        <v>4.8130688773527828</v>
      </c>
      <c r="EV252" s="636">
        <v>0</v>
      </c>
      <c r="EW252" s="613">
        <v>0.90137359245023874</v>
      </c>
      <c r="EX252" s="662">
        <v>207.59245009082741</v>
      </c>
      <c r="EY252" s="613">
        <v>-2.5229712030368332</v>
      </c>
    </row>
    <row r="253" spans="1:155" x14ac:dyDescent="0.25">
      <c r="A253" s="703" t="s">
        <v>253</v>
      </c>
      <c r="B253" s="636">
        <v>0.47585912140455749</v>
      </c>
      <c r="C253" s="613">
        <v>0.3503341688307729</v>
      </c>
      <c r="D253" s="636">
        <v>0.47585912140455749</v>
      </c>
      <c r="E253" s="613">
        <v>0.42435801348870644</v>
      </c>
      <c r="F253" s="636">
        <v>0.40882808056750064</v>
      </c>
      <c r="G253" s="613">
        <v>1.0904118638542386</v>
      </c>
      <c r="H253" s="636">
        <v>0.40882808056750064</v>
      </c>
      <c r="I253" s="613">
        <v>1.1644357085121724</v>
      </c>
      <c r="J253" s="636">
        <v>0.47585912140455749</v>
      </c>
      <c r="K253" s="613">
        <v>0.3503341688307729</v>
      </c>
      <c r="L253" s="636">
        <v>0.35915286437925015</v>
      </c>
      <c r="M253" s="613">
        <v>1.5384175173875494</v>
      </c>
      <c r="N253" s="636">
        <v>0.33418883026468443</v>
      </c>
      <c r="O253" s="613">
        <v>-4.1510321469331286</v>
      </c>
      <c r="P253" s="636">
        <v>-4.6941519841377612</v>
      </c>
      <c r="Q253" s="613">
        <v>-1.1721340944976941</v>
      </c>
      <c r="R253" s="636">
        <v>0.26358807100303316</v>
      </c>
      <c r="S253" s="613">
        <v>0.95387496039687936</v>
      </c>
      <c r="T253" s="636">
        <v>1.1845565578427273</v>
      </c>
      <c r="U253" s="613">
        <v>1.2543570990898976</v>
      </c>
      <c r="V253" s="636">
        <v>0.78577633926550061</v>
      </c>
      <c r="W253" s="613">
        <v>0.85555876184368862</v>
      </c>
      <c r="X253" s="636">
        <v>0.33694723068230231</v>
      </c>
      <c r="Y253" s="613">
        <v>0.40262040480327665</v>
      </c>
      <c r="Z253" s="636">
        <v>0.26358807100303316</v>
      </c>
      <c r="AA253" s="613">
        <v>0.95387496039687936</v>
      </c>
      <c r="AB253" s="636">
        <v>0.78027279237522063</v>
      </c>
      <c r="AC253" s="613">
        <v>0.61473903170041111</v>
      </c>
      <c r="AD253" s="636">
        <v>1.8522327578641091</v>
      </c>
      <c r="AE253" s="613">
        <v>4.5037973889179233</v>
      </c>
      <c r="AF253" s="636">
        <v>2.5716468383548654</v>
      </c>
      <c r="AG253" s="613">
        <v>0.54322949472334259</v>
      </c>
      <c r="AH253" s="636">
        <v>5.4193244158623317</v>
      </c>
      <c r="AI253" s="613">
        <v>5.5275580657354286</v>
      </c>
      <c r="AJ253" s="636">
        <v>2.6095358313299086</v>
      </c>
      <c r="AK253" s="613">
        <v>0.53213067546881621</v>
      </c>
      <c r="AL253" s="636">
        <v>6.3751897756847491</v>
      </c>
      <c r="AM253" s="613">
        <v>0.36511344920693911</v>
      </c>
      <c r="AN253" s="636">
        <v>9.5356397880063434E-2</v>
      </c>
      <c r="AO253" s="613">
        <v>0.36511344920693911</v>
      </c>
      <c r="AP253" s="636">
        <v>2.5129873606474891</v>
      </c>
      <c r="AQ253" s="613">
        <v>0.52895974376351129</v>
      </c>
      <c r="AR253" s="636">
        <v>0.78027279237522063</v>
      </c>
      <c r="AS253" s="613">
        <v>0.61473903170041111</v>
      </c>
      <c r="AT253" s="636">
        <v>3.9984634397607688</v>
      </c>
      <c r="AU253" s="613">
        <v>0.50374122392860199</v>
      </c>
      <c r="AV253" s="636">
        <v>2.4356442393299158</v>
      </c>
      <c r="AW253" s="613">
        <v>0.91635021466398614</v>
      </c>
      <c r="AX253" s="636">
        <v>6.5770284780040624</v>
      </c>
      <c r="AY253" s="613">
        <v>0.4282571322549007</v>
      </c>
      <c r="AZ253" s="636">
        <v>3.9984634397607688</v>
      </c>
      <c r="BA253" s="613">
        <v>0.50374122392860199</v>
      </c>
      <c r="BB253" s="636">
        <v>3.4457798771918857</v>
      </c>
      <c r="BC253" s="613">
        <v>0.89610381028866548</v>
      </c>
      <c r="BD253" s="636">
        <v>1.816035809706577</v>
      </c>
      <c r="BE253" s="613">
        <v>1.1725067413436558</v>
      </c>
      <c r="BF253" s="636">
        <v>3.1418508727645289</v>
      </c>
      <c r="BG253" s="613">
        <v>0.75261718427412139</v>
      </c>
      <c r="BH253" s="636">
        <v>2.7231692047274962</v>
      </c>
      <c r="BI253" s="613">
        <v>0.38161057728280195</v>
      </c>
      <c r="BJ253" s="636">
        <v>82.636677621152018</v>
      </c>
      <c r="BK253" s="613">
        <v>0.3312198364477939</v>
      </c>
      <c r="BL253" s="636">
        <v>2.8282609718935037</v>
      </c>
      <c r="BM253" s="613">
        <v>0.2821641508834985</v>
      </c>
      <c r="BN253" s="636">
        <v>58.444974009205289</v>
      </c>
      <c r="BO253" s="613">
        <v>0.19417405002075699</v>
      </c>
      <c r="BP253" s="636">
        <v>2.0136985948821042</v>
      </c>
      <c r="BQ253" s="613">
        <v>1.5745244678298143</v>
      </c>
      <c r="BR253" s="636">
        <v>0.66871917953132276</v>
      </c>
      <c r="BS253" s="613">
        <v>1.3485640825935337</v>
      </c>
      <c r="BT253" s="636">
        <v>2.3197458565973474</v>
      </c>
      <c r="BU253" s="613">
        <v>1.844938352752244</v>
      </c>
      <c r="BV253" s="636">
        <v>1.8364505350494471</v>
      </c>
      <c r="BW253" s="613">
        <v>1.3533816850031102</v>
      </c>
      <c r="BX253" s="636">
        <v>1.3841427607513839</v>
      </c>
      <c r="BY253" s="613">
        <v>1.3940332386323575</v>
      </c>
      <c r="BZ253" s="636">
        <v>83.018654959689925</v>
      </c>
      <c r="CA253" s="613">
        <v>5.1529327592591705E-2</v>
      </c>
      <c r="CB253" s="636">
        <v>3.4457798771918857</v>
      </c>
      <c r="CC253" s="613">
        <v>0.89610381028866548</v>
      </c>
      <c r="CD253" s="636">
        <v>0.78027279237522063</v>
      </c>
      <c r="CE253" s="614">
        <v>0.61473903170041111</v>
      </c>
      <c r="CF253" s="662">
        <v>0.51133877819388041</v>
      </c>
      <c r="CG253" s="613">
        <v>1.2016369241968676</v>
      </c>
      <c r="CH253" s="662">
        <v>0.68853272783098929</v>
      </c>
      <c r="CI253" s="613">
        <v>1.3788389246809583</v>
      </c>
      <c r="CJ253" s="662">
        <v>0.65900740144322745</v>
      </c>
      <c r="CK253" s="613">
        <v>1.3493122568033467</v>
      </c>
      <c r="CL253" s="662">
        <v>0.48975538286657666</v>
      </c>
      <c r="CM253" s="613">
        <v>1.1800525482231392</v>
      </c>
      <c r="CN253" s="662">
        <v>0.89059605328461333</v>
      </c>
      <c r="CO253" s="613">
        <v>1.5809114309272514</v>
      </c>
      <c r="CP253" s="662">
        <v>0.26358807100303316</v>
      </c>
      <c r="CQ253" s="613">
        <v>0.95387496039687936</v>
      </c>
      <c r="CR253" s="662">
        <v>3.9984634397607688</v>
      </c>
      <c r="CS253" s="613">
        <v>0.50374122392860199</v>
      </c>
      <c r="CT253" s="662">
        <v>1.4630525995442638</v>
      </c>
      <c r="CU253" s="613">
        <v>0.91635021466398614</v>
      </c>
      <c r="CV253" s="662">
        <v>2.0382451089900524</v>
      </c>
      <c r="CW253" s="613">
        <v>0.91635021466398614</v>
      </c>
      <c r="CX253" s="662">
        <v>1.7693399084147754</v>
      </c>
      <c r="CY253" s="613">
        <v>0.91635021466398614</v>
      </c>
      <c r="CZ253" s="662">
        <v>1.3963828449409714</v>
      </c>
      <c r="DA253" s="613">
        <v>0.91635021466398614</v>
      </c>
      <c r="DB253" s="662">
        <v>2.4356442393299158</v>
      </c>
      <c r="DC253" s="613">
        <v>0.91635021466398614</v>
      </c>
      <c r="DD253" s="662">
        <v>0.84691326360651886</v>
      </c>
      <c r="DE253" s="613">
        <v>0.91635021466398614</v>
      </c>
      <c r="DF253" s="662">
        <v>6.5770284780040624</v>
      </c>
      <c r="DG253" s="613">
        <v>0.4282571322549007</v>
      </c>
      <c r="DH253" s="662">
        <v>6.5014899644057671</v>
      </c>
      <c r="DI253" s="613">
        <v>0.4282571322549007</v>
      </c>
      <c r="DJ253" s="662">
        <v>6.5027417153122711</v>
      </c>
      <c r="DK253" s="613">
        <v>0.4282571322549007</v>
      </c>
      <c r="DL253" s="662">
        <v>7.246172630138096</v>
      </c>
      <c r="DM253" s="613">
        <v>0.4282571322549007</v>
      </c>
      <c r="DN253" s="662">
        <v>5.6192161455691592</v>
      </c>
      <c r="DO253" s="613">
        <v>0.4282571322549007</v>
      </c>
      <c r="DP253" s="662">
        <v>6.2396861845941265</v>
      </c>
      <c r="DQ253" s="613">
        <v>0.4282571322549007</v>
      </c>
      <c r="DR253" s="662">
        <v>5.8662043465153957</v>
      </c>
      <c r="DS253" s="613">
        <v>0.4282571322549007</v>
      </c>
      <c r="DT253" s="662">
        <v>5.5667153338675215</v>
      </c>
      <c r="DU253" s="613">
        <v>0.4282571322549007</v>
      </c>
      <c r="DV253" s="662">
        <v>6.540747076468568</v>
      </c>
      <c r="DW253" s="613">
        <v>0.4282571322549007</v>
      </c>
      <c r="DX253" s="662">
        <v>5.1566170329667465</v>
      </c>
      <c r="DY253" s="613">
        <v>0.4282571322549007</v>
      </c>
      <c r="DZ253" s="662">
        <v>5.9407093672449021</v>
      </c>
      <c r="EA253" s="613">
        <v>0.4282571322549007</v>
      </c>
      <c r="EB253" s="662">
        <v>2.069824946261388</v>
      </c>
      <c r="EC253" s="613">
        <v>0.89610381028866548</v>
      </c>
      <c r="ED253" s="662">
        <v>2.8835672582769876</v>
      </c>
      <c r="EE253" s="613">
        <v>0.89610381028866548</v>
      </c>
      <c r="EF253" s="662">
        <v>2.5031389042290839</v>
      </c>
      <c r="EG253" s="613">
        <v>0.89610381028866548</v>
      </c>
      <c r="EH253" s="662">
        <v>1.9755052196281797</v>
      </c>
      <c r="EI253" s="613">
        <v>0.89610381028866548</v>
      </c>
      <c r="EJ253" s="662">
        <v>3.4457798771918857</v>
      </c>
      <c r="EK253" s="613">
        <v>0.89610381028866548</v>
      </c>
      <c r="EL253" s="662">
        <v>1.1981539152307046</v>
      </c>
      <c r="EM253" s="613">
        <v>0.89610381028866548</v>
      </c>
      <c r="EN253" s="662">
        <v>0.76621831204574753</v>
      </c>
      <c r="EO253" s="613">
        <v>1.4565280385577193</v>
      </c>
      <c r="EP253" s="662">
        <v>13.171334970557867</v>
      </c>
      <c r="EQ253" s="613">
        <v>2.1472260901225182</v>
      </c>
      <c r="ER253" s="636">
        <v>0</v>
      </c>
      <c r="ES253" s="613">
        <v>0.76682673062241669</v>
      </c>
      <c r="ET253" s="636">
        <v>0</v>
      </c>
      <c r="EU253" s="613">
        <v>4.3104147089447853</v>
      </c>
      <c r="EV253" s="636">
        <v>0</v>
      </c>
      <c r="EW253" s="613">
        <v>0.67495592989961528</v>
      </c>
      <c r="EX253" s="662">
        <v>72.414972868777184</v>
      </c>
      <c r="EY253" s="613">
        <v>-1.353996786450101</v>
      </c>
    </row>
    <row r="254" spans="1:155" x14ac:dyDescent="0.25">
      <c r="A254" s="703" t="s">
        <v>898</v>
      </c>
      <c r="B254" s="636">
        <v>2.6651775385811116</v>
      </c>
      <c r="C254" s="613">
        <v>1.1636952072382207</v>
      </c>
      <c r="D254" s="636">
        <v>2.6651775385811116</v>
      </c>
      <c r="E254" s="613">
        <v>1.4503814957080978</v>
      </c>
      <c r="F254" s="636">
        <v>0.15396530130634095</v>
      </c>
      <c r="G254" s="613">
        <v>6.2841967880557634</v>
      </c>
      <c r="H254" s="636">
        <v>0.15396530130634095</v>
      </c>
      <c r="I254" s="613">
        <v>6.5708830765256403</v>
      </c>
      <c r="J254" s="636">
        <v>2.6651775385811116</v>
      </c>
      <c r="K254" s="613">
        <v>1.1636952072382207</v>
      </c>
      <c r="L254" s="636">
        <v>10.888853022319674</v>
      </c>
      <c r="M254" s="613">
        <v>6.0890237945460326</v>
      </c>
      <c r="N254" s="636">
        <v>10.840809348260812</v>
      </c>
      <c r="O254" s="613">
        <v>5.6694007349645057</v>
      </c>
      <c r="P254" s="636">
        <v>4.3129029466955764</v>
      </c>
      <c r="Q254" s="613">
        <v>2.5669772913210185</v>
      </c>
      <c r="R254" s="636">
        <v>0.10900811224143794</v>
      </c>
      <c r="S254" s="613">
        <v>5.695802501505641</v>
      </c>
      <c r="T254" s="636">
        <v>6.8004897164800102</v>
      </c>
      <c r="U254" s="613">
        <v>7.0153440566878702</v>
      </c>
      <c r="V254" s="636">
        <v>3.9030719059092314</v>
      </c>
      <c r="W254" s="613">
        <v>4.1177946012867626</v>
      </c>
      <c r="X254" s="636">
        <v>6.8792854500138274</v>
      </c>
      <c r="Y254" s="613">
        <v>7.0106632176775525</v>
      </c>
      <c r="Z254" s="636">
        <v>0.10900811224143794</v>
      </c>
      <c r="AA254" s="613">
        <v>5.695802501505641</v>
      </c>
      <c r="AB254" s="636">
        <v>3.8117900662850679</v>
      </c>
      <c r="AC254" s="613">
        <v>5.5281661667951028</v>
      </c>
      <c r="AD254" s="636">
        <v>9.1984106565642776</v>
      </c>
      <c r="AE254" s="613">
        <v>37.74270075080446</v>
      </c>
      <c r="AF254" s="636">
        <v>13.303174974231672</v>
      </c>
      <c r="AG254" s="613">
        <v>3.0118916375817841</v>
      </c>
      <c r="AH254" s="636">
        <v>20.227456129135803</v>
      </c>
      <c r="AI254" s="613">
        <v>50.480844885219135</v>
      </c>
      <c r="AJ254" s="636">
        <v>11.51719180179879</v>
      </c>
      <c r="AK254" s="613">
        <v>2.5175198085775312</v>
      </c>
      <c r="AL254" s="636">
        <v>25.214616089447123</v>
      </c>
      <c r="AM254" s="613">
        <v>2.2398628332220571</v>
      </c>
      <c r="AN254" s="636">
        <v>0.87630021210379816</v>
      </c>
      <c r="AO254" s="613">
        <v>2.2398628332220571</v>
      </c>
      <c r="AP254" s="636">
        <v>5.8445624541829186</v>
      </c>
      <c r="AQ254" s="613">
        <v>2.9700555686119903</v>
      </c>
      <c r="AR254" s="636">
        <v>3.8117900662850679</v>
      </c>
      <c r="AS254" s="613">
        <v>5.5281661667951028</v>
      </c>
      <c r="AT254" s="636">
        <v>19.748159671342567</v>
      </c>
      <c r="AU254" s="613">
        <v>2.7124045983587117</v>
      </c>
      <c r="AV254" s="636">
        <v>8.6640056957860683</v>
      </c>
      <c r="AW254" s="613">
        <v>10.363407608623627</v>
      </c>
      <c r="AX254" s="636">
        <v>23.815879789140393</v>
      </c>
      <c r="AY254" s="613">
        <v>3.3617181887289664</v>
      </c>
      <c r="AZ254" s="636">
        <v>19.748159671342567</v>
      </c>
      <c r="BA254" s="613">
        <v>2.7124045983587117</v>
      </c>
      <c r="BB254" s="636">
        <v>12.257231988292714</v>
      </c>
      <c r="BC254" s="613">
        <v>13.563912724445757</v>
      </c>
      <c r="BD254" s="636">
        <v>6.4599518866425099</v>
      </c>
      <c r="BE254" s="613">
        <v>11.680082505000799</v>
      </c>
      <c r="BF254" s="636">
        <v>11.176104218090259</v>
      </c>
      <c r="BG254" s="613">
        <v>14.362766412654889</v>
      </c>
      <c r="BH254" s="636">
        <v>9.6867814762796431</v>
      </c>
      <c r="BI254" s="613">
        <v>9.444111820668784</v>
      </c>
      <c r="BJ254" s="636">
        <v>21.417786588675352</v>
      </c>
      <c r="BK254" s="613">
        <v>1.5891342564985087</v>
      </c>
      <c r="BL254" s="636">
        <v>13.198775946997179</v>
      </c>
      <c r="BM254" s="613">
        <v>1.7270215423089081</v>
      </c>
      <c r="BN254" s="636">
        <v>15.147777192211688</v>
      </c>
      <c r="BO254" s="613">
        <v>0.81200707429155472</v>
      </c>
      <c r="BP254" s="636">
        <v>7.1630724282027405</v>
      </c>
      <c r="BQ254" s="613">
        <v>17.928167997129606</v>
      </c>
      <c r="BR254" s="636">
        <v>0.27655202719516808</v>
      </c>
      <c r="BS254" s="613">
        <v>16.669106426814469</v>
      </c>
      <c r="BT254" s="636">
        <v>11.457079016273475</v>
      </c>
      <c r="BU254" s="613">
        <v>8.8244184576796982</v>
      </c>
      <c r="BV254" s="636">
        <v>10.048526131492713</v>
      </c>
      <c r="BW254" s="613">
        <v>16.336382086841326</v>
      </c>
      <c r="BX254" s="636">
        <v>6.5480889177604853</v>
      </c>
      <c r="BY254" s="613">
        <v>16.167480891517648</v>
      </c>
      <c r="BZ254" s="636">
        <v>21.516787532977851</v>
      </c>
      <c r="CA254" s="613">
        <v>0.12541142673057401</v>
      </c>
      <c r="CB254" s="636">
        <v>12.257231988292714</v>
      </c>
      <c r="CC254" s="613">
        <v>13.563912724445757</v>
      </c>
      <c r="CD254" s="636">
        <v>3.8117900662850679</v>
      </c>
      <c r="CE254" s="614">
        <v>5.5281661667951028</v>
      </c>
      <c r="CF254" s="662">
        <v>1.0598600550735233</v>
      </c>
      <c r="CG254" s="613">
        <v>6.6466976465097511</v>
      </c>
      <c r="CH254" s="662">
        <v>1.175455691207109</v>
      </c>
      <c r="CI254" s="613">
        <v>6.7622985347570816</v>
      </c>
      <c r="CJ254" s="662">
        <v>3.6058978817368903</v>
      </c>
      <c r="CK254" s="613">
        <v>9.1928511529747947</v>
      </c>
      <c r="CL254" s="662">
        <v>2.3169299337456128</v>
      </c>
      <c r="CM254" s="613">
        <v>7.9038246404346992</v>
      </c>
      <c r="CN254" s="662">
        <v>3.1680034192618018</v>
      </c>
      <c r="CO254" s="613">
        <v>8.7549367946662482</v>
      </c>
      <c r="CP254" s="662">
        <v>0.10900811224143794</v>
      </c>
      <c r="CQ254" s="613">
        <v>5.695802501505641</v>
      </c>
      <c r="CR254" s="662">
        <v>19.748159671342567</v>
      </c>
      <c r="CS254" s="613">
        <v>2.7124045983587117</v>
      </c>
      <c r="CT254" s="662">
        <v>3.0324924978416248</v>
      </c>
      <c r="CU254" s="613">
        <v>10.363407608623627</v>
      </c>
      <c r="CV254" s="662">
        <v>3.4796701980817284</v>
      </c>
      <c r="CW254" s="613">
        <v>10.363407608623627</v>
      </c>
      <c r="CX254" s="662">
        <v>9.6813161944054649</v>
      </c>
      <c r="CY254" s="613">
        <v>10.363407608623627</v>
      </c>
      <c r="CZ254" s="662">
        <v>6.6059941872940859</v>
      </c>
      <c r="DA254" s="613">
        <v>10.363407608623627</v>
      </c>
      <c r="DB254" s="662">
        <v>8.6640056957860683</v>
      </c>
      <c r="DC254" s="613">
        <v>10.363407608623627</v>
      </c>
      <c r="DD254" s="662">
        <v>0.35024504616872282</v>
      </c>
      <c r="DE254" s="613">
        <v>10.363407608623627</v>
      </c>
      <c r="DF254" s="662">
        <v>23.815879789140393</v>
      </c>
      <c r="DG254" s="613">
        <v>3.3617181887289664</v>
      </c>
      <c r="DH254" s="662">
        <v>19.700818997598631</v>
      </c>
      <c r="DI254" s="613">
        <v>3.3617181887289664</v>
      </c>
      <c r="DJ254" s="662">
        <v>19.766448938219011</v>
      </c>
      <c r="DK254" s="613">
        <v>3.3617181887289664</v>
      </c>
      <c r="DL254" s="662">
        <v>60.290290920712074</v>
      </c>
      <c r="DM254" s="613">
        <v>3.3617181887289664</v>
      </c>
      <c r="DN254" s="662">
        <v>152.6032804616255</v>
      </c>
      <c r="DO254" s="613">
        <v>3.3617181887289664</v>
      </c>
      <c r="DP254" s="662">
        <v>108.09287713275597</v>
      </c>
      <c r="DQ254" s="613">
        <v>3.3617181887289664</v>
      </c>
      <c r="DR254" s="662">
        <v>231.84386608910384</v>
      </c>
      <c r="DS254" s="613">
        <v>3.3617181887289664</v>
      </c>
      <c r="DT254" s="662">
        <v>188.84958804945734</v>
      </c>
      <c r="DU254" s="613">
        <v>3.3617181887289664</v>
      </c>
      <c r="DV254" s="662">
        <v>217.52013961404609</v>
      </c>
      <c r="DW254" s="613">
        <v>3.3617181887289664</v>
      </c>
      <c r="DX254" s="662">
        <v>129.39546104129326</v>
      </c>
      <c r="DY254" s="613">
        <v>3.3617181887289664</v>
      </c>
      <c r="DZ254" s="662">
        <v>178.67368384984024</v>
      </c>
      <c r="EA254" s="613">
        <v>3.3617181887289664</v>
      </c>
      <c r="EB254" s="662">
        <v>4.2901592351076676</v>
      </c>
      <c r="EC254" s="613">
        <v>13.563912724445757</v>
      </c>
      <c r="ED254" s="662">
        <v>4.922795108662096</v>
      </c>
      <c r="EE254" s="613">
        <v>13.563912724445757</v>
      </c>
      <c r="EF254" s="662">
        <v>13.696452046950851</v>
      </c>
      <c r="EG254" s="613">
        <v>13.563912724445757</v>
      </c>
      <c r="EH254" s="662">
        <v>9.3457006043242732</v>
      </c>
      <c r="EI254" s="613">
        <v>13.563912724445757</v>
      </c>
      <c r="EJ254" s="662">
        <v>12.257231988292714</v>
      </c>
      <c r="EK254" s="613">
        <v>13.563912724445757</v>
      </c>
      <c r="EL254" s="662">
        <v>0.49550230394335265</v>
      </c>
      <c r="EM254" s="613">
        <v>13.563912724445757</v>
      </c>
      <c r="EN254" s="662">
        <v>2.6386136573315078</v>
      </c>
      <c r="EO254" s="613">
        <v>8.2255229797929754</v>
      </c>
      <c r="EP254" s="662">
        <v>112.98080091888505</v>
      </c>
      <c r="EQ254" s="613">
        <v>18.081622560899994</v>
      </c>
      <c r="ER254" s="636">
        <v>0</v>
      </c>
      <c r="ES254" s="613">
        <v>4.4336114390103685</v>
      </c>
      <c r="ET254" s="636">
        <v>0</v>
      </c>
      <c r="EU254" s="613">
        <v>37.946682546343112</v>
      </c>
      <c r="EV254" s="636">
        <v>0</v>
      </c>
      <c r="EW254" s="613">
        <v>3.4831582009714666</v>
      </c>
      <c r="EX254" s="662">
        <v>18.768523606897688</v>
      </c>
      <c r="EY254" s="613">
        <v>-15.33145162675279</v>
      </c>
    </row>
    <row r="255" spans="1:155" x14ac:dyDescent="0.25">
      <c r="A255" s="72" t="s">
        <v>899</v>
      </c>
      <c r="B255" s="636">
        <v>8.5929625989135644E-2</v>
      </c>
      <c r="C255" s="613">
        <v>4.5157809090280929E-2</v>
      </c>
      <c r="D255" s="636">
        <v>8.5929625989135644E-2</v>
      </c>
      <c r="E255" s="613">
        <v>5.8727809616463282E-2</v>
      </c>
      <c r="F255" s="636">
        <v>0.28180771608026667</v>
      </c>
      <c r="G255" s="613">
        <v>7.6814052998910962E-2</v>
      </c>
      <c r="H255" s="636">
        <v>0.28180771608026667</v>
      </c>
      <c r="I255" s="613">
        <v>9.0384053525093308E-2</v>
      </c>
      <c r="J255" s="636">
        <v>8.5929625989135644E-2</v>
      </c>
      <c r="K255" s="613">
        <v>4.5157809090280929E-2</v>
      </c>
      <c r="L255" s="636">
        <v>7.3352468315627917E-2</v>
      </c>
      <c r="M255" s="613">
        <v>4.5387945713227532E-2</v>
      </c>
      <c r="N255" s="636">
        <v>6.845724333026966E-2</v>
      </c>
      <c r="O255" s="613">
        <v>-5.3570807308272377</v>
      </c>
      <c r="P255" s="636">
        <v>-4.8614600661236995</v>
      </c>
      <c r="Q255" s="613">
        <v>-2.6095124586652378</v>
      </c>
      <c r="R255" s="636">
        <v>0.17887282822710665</v>
      </c>
      <c r="S255" s="613">
        <v>0.18719669927304775</v>
      </c>
      <c r="T255" s="636">
        <v>3.4679962128588759E-2</v>
      </c>
      <c r="U255" s="613">
        <v>4.2997281739206035E-2</v>
      </c>
      <c r="V255" s="636">
        <v>9.7115608387625799E-2</v>
      </c>
      <c r="W255" s="613">
        <v>0.10543576477588287</v>
      </c>
      <c r="X255" s="636">
        <v>0.11685230794835658</v>
      </c>
      <c r="Y255" s="613">
        <v>0.12375535791830447</v>
      </c>
      <c r="Z255" s="636">
        <v>0.17887282822710665</v>
      </c>
      <c r="AA255" s="613">
        <v>0.18719669927304775</v>
      </c>
      <c r="AB255" s="636">
        <v>0.27984738889063288</v>
      </c>
      <c r="AC255" s="613">
        <v>6.6323658850125658E-2</v>
      </c>
      <c r="AD255" s="636">
        <v>0.53794541798475437</v>
      </c>
      <c r="AE255" s="613">
        <v>0.66054318803535028</v>
      </c>
      <c r="AF255" s="636">
        <v>0.47144246010225893</v>
      </c>
      <c r="AG255" s="613">
        <v>6.0243445311595027E-2</v>
      </c>
      <c r="AH255" s="636">
        <v>2.0087907146879713</v>
      </c>
      <c r="AI255" s="613">
        <v>0.75308355905127178</v>
      </c>
      <c r="AJ255" s="636">
        <v>0.7950650176654307</v>
      </c>
      <c r="AK255" s="613">
        <v>9.2167132959201092E-2</v>
      </c>
      <c r="AL255" s="636">
        <v>0.36079916041408761</v>
      </c>
      <c r="AM255" s="613">
        <v>3.6291457723461928E-2</v>
      </c>
      <c r="AN255" s="636">
        <v>5.5526907610059682E-3</v>
      </c>
      <c r="AO255" s="613">
        <v>3.6291457723461928E-2</v>
      </c>
      <c r="AP255" s="636">
        <v>1.0992276186469552</v>
      </c>
      <c r="AQ255" s="613">
        <v>5.7743787578257565E-2</v>
      </c>
      <c r="AR255" s="636">
        <v>0.27984738889063288</v>
      </c>
      <c r="AS255" s="613">
        <v>6.6323658850125658E-2</v>
      </c>
      <c r="AT255" s="636">
        <v>0.8279010851128995</v>
      </c>
      <c r="AU255" s="613">
        <v>-9.8346571566847493E-2</v>
      </c>
      <c r="AV255" s="636">
        <v>1.0440305288688043</v>
      </c>
      <c r="AW255" s="613">
        <v>0.19761142512945967</v>
      </c>
      <c r="AX255" s="636">
        <v>0.78485848293051763</v>
      </c>
      <c r="AY255" s="613">
        <v>3.4843523178398471E-2</v>
      </c>
      <c r="AZ255" s="636">
        <v>0.8279010851128995</v>
      </c>
      <c r="BA255" s="613">
        <v>-9.8346571566847493E-2</v>
      </c>
      <c r="BB255" s="636">
        <v>1.4770216969535159</v>
      </c>
      <c r="BC255" s="613">
        <v>0.19720500904588209</v>
      </c>
      <c r="BD255" s="636">
        <v>0.77843750587083416</v>
      </c>
      <c r="BE255" s="613">
        <v>0.13789462669065131</v>
      </c>
      <c r="BF255" s="636">
        <v>1.3467435741854061</v>
      </c>
      <c r="BG255" s="613">
        <v>9.9020812362575886E-2</v>
      </c>
      <c r="BH255" s="636">
        <v>1.1672771167077598</v>
      </c>
      <c r="BI255" s="613">
        <v>5.8328171279476732E-2</v>
      </c>
      <c r="BJ255" s="636">
        <v>12.406004719635105</v>
      </c>
      <c r="BK255" s="613">
        <v>2.9855879507649466E-2</v>
      </c>
      <c r="BL255" s="636">
        <v>0.22080959239305606</v>
      </c>
      <c r="BM255" s="613">
        <v>2.586808574420181E-2</v>
      </c>
      <c r="BN255" s="636">
        <v>8.7741744255647607</v>
      </c>
      <c r="BO255" s="613">
        <v>2.4693575377882346E-2</v>
      </c>
      <c r="BP255" s="636">
        <v>0.86316497912499923</v>
      </c>
      <c r="BQ255" s="613">
        <v>0.2509868170165232</v>
      </c>
      <c r="BR255" s="636">
        <v>0.45379781595314128</v>
      </c>
      <c r="BS255" s="613">
        <v>0.21331755438246919</v>
      </c>
      <c r="BT255" s="636">
        <v>0.48031453602036767</v>
      </c>
      <c r="BU255" s="613">
        <v>0.2547773395649105</v>
      </c>
      <c r="BV255" s="636">
        <v>0.36144776259040062</v>
      </c>
      <c r="BW255" s="613">
        <v>0.21357940701933453</v>
      </c>
      <c r="BX255" s="636">
        <v>0.27014959029936153</v>
      </c>
      <c r="BY255" s="613">
        <v>0.2166682844426096</v>
      </c>
      <c r="BZ255" s="636">
        <v>12.463349869526294</v>
      </c>
      <c r="CA255" s="613">
        <v>4.9759961694182666E-3</v>
      </c>
      <c r="CB255" s="636">
        <v>1.4770216969535159</v>
      </c>
      <c r="CC255" s="613">
        <v>0.19720500904588209</v>
      </c>
      <c r="CD255" s="636">
        <v>0.27984738889063288</v>
      </c>
      <c r="CE255" s="614">
        <v>6.6323658850125658E-2</v>
      </c>
      <c r="CF255" s="662">
        <v>0.27605794603501549</v>
      </c>
      <c r="CG255" s="613">
        <v>0.28438623270865704</v>
      </c>
      <c r="CH255" s="662">
        <v>0.38561337052141759</v>
      </c>
      <c r="CI255" s="613">
        <v>0.39394663487042769</v>
      </c>
      <c r="CJ255" s="662">
        <v>0.12970496413384475</v>
      </c>
      <c r="CK255" s="613">
        <v>0.13802660122681484</v>
      </c>
      <c r="CL255" s="662">
        <v>9.5587839477258435E-2</v>
      </c>
      <c r="CM255" s="613">
        <v>0.10390792645099121</v>
      </c>
      <c r="CN255" s="662">
        <v>0.38175093616094358</v>
      </c>
      <c r="CO255" s="613">
        <v>0.39008402501937922</v>
      </c>
      <c r="CP255" s="662">
        <v>0.17887282822710665</v>
      </c>
      <c r="CQ255" s="613">
        <v>0.18719669927304775</v>
      </c>
      <c r="CR255" s="662">
        <v>0.8279010851128995</v>
      </c>
      <c r="CS255" s="613">
        <v>-9.8346571566847493E-2</v>
      </c>
      <c r="CT255" s="662">
        <v>0.78986244109622494</v>
      </c>
      <c r="CU255" s="613">
        <v>0.19761142512945967</v>
      </c>
      <c r="CV255" s="662">
        <v>1.1415209977053953</v>
      </c>
      <c r="CW255" s="613">
        <v>0.19761142512945967</v>
      </c>
      <c r="CX255" s="662">
        <v>0.34823913792004502</v>
      </c>
      <c r="CY255" s="613">
        <v>0.19761142512945967</v>
      </c>
      <c r="CZ255" s="662">
        <v>0.27253854454801985</v>
      </c>
      <c r="DA255" s="613">
        <v>0.19761142512945967</v>
      </c>
      <c r="DB255" s="662">
        <v>1.0440305288688043</v>
      </c>
      <c r="DC255" s="613">
        <v>0.19761142512945967</v>
      </c>
      <c r="DD255" s="662">
        <v>0.57472164862348396</v>
      </c>
      <c r="DE255" s="613">
        <v>0.19761142512945967</v>
      </c>
      <c r="DF255" s="662">
        <v>0.78485848293051763</v>
      </c>
      <c r="DG255" s="613">
        <v>3.4843523178398471E-2</v>
      </c>
      <c r="DH255" s="662">
        <v>0.77673559563145722</v>
      </c>
      <c r="DI255" s="613">
        <v>3.4843523178398471E-2</v>
      </c>
      <c r="DJ255" s="662">
        <v>0.77946458585938794</v>
      </c>
      <c r="DK255" s="613">
        <v>3.4843523178398471E-2</v>
      </c>
      <c r="DL255" s="662">
        <v>0.83463160217325427</v>
      </c>
      <c r="DM255" s="613">
        <v>3.4843523178398471E-2</v>
      </c>
      <c r="DN255" s="662">
        <v>1.1391229538827969</v>
      </c>
      <c r="DO255" s="613">
        <v>3.4843523178398471E-2</v>
      </c>
      <c r="DP255" s="662">
        <v>1.4936319259034787</v>
      </c>
      <c r="DQ255" s="613">
        <v>3.4843523178398471E-2</v>
      </c>
      <c r="DR255" s="662">
        <v>0.69716394306773832</v>
      </c>
      <c r="DS255" s="613">
        <v>3.4843523178398471E-2</v>
      </c>
      <c r="DT255" s="662">
        <v>0.63190434513678728</v>
      </c>
      <c r="DU255" s="613">
        <v>3.4843523178398471E-2</v>
      </c>
      <c r="DV255" s="662">
        <v>1.3865567262092306</v>
      </c>
      <c r="DW255" s="613">
        <v>3.4843523178398471E-2</v>
      </c>
      <c r="DX255" s="662">
        <v>0.94860339378995551</v>
      </c>
      <c r="DY255" s="613">
        <v>3.4843523178398471E-2</v>
      </c>
      <c r="DZ255" s="662">
        <v>-0.63008455384546591</v>
      </c>
      <c r="EA255" s="613">
        <v>3.4843523178398471E-2</v>
      </c>
      <c r="EB255" s="662">
        <v>1.1174423839615484</v>
      </c>
      <c r="EC255" s="613">
        <v>0.19720500904588209</v>
      </c>
      <c r="ED255" s="662">
        <v>1.6149444240540665</v>
      </c>
      <c r="EE255" s="613">
        <v>0.19720500904588209</v>
      </c>
      <c r="EF255" s="662">
        <v>0.49266448462344709</v>
      </c>
      <c r="EG255" s="613">
        <v>0.19720500904588209</v>
      </c>
      <c r="EH255" s="662">
        <v>0.38556855611273283</v>
      </c>
      <c r="EI255" s="613">
        <v>0.19720500904588209</v>
      </c>
      <c r="EJ255" s="662">
        <v>1.4770216969535159</v>
      </c>
      <c r="EK255" s="613">
        <v>0.19720500904588209</v>
      </c>
      <c r="EL255" s="662">
        <v>0.8130761709099914</v>
      </c>
      <c r="EM255" s="613">
        <v>0.19720500904588209</v>
      </c>
      <c r="EN255" s="662">
        <v>0.34561858505718668</v>
      </c>
      <c r="EO255" s="613">
        <v>0.35395003223411781</v>
      </c>
      <c r="EP255" s="662">
        <v>1.9698746339021149</v>
      </c>
      <c r="EQ255" s="613">
        <v>0.22612433758485248</v>
      </c>
      <c r="ER255" s="636">
        <v>0</v>
      </c>
      <c r="ES255" s="613">
        <v>8.6943158045530516E-2</v>
      </c>
      <c r="ET255" s="636">
        <v>0</v>
      </c>
      <c r="EU255" s="613">
        <v>0.61505921776133965</v>
      </c>
      <c r="EV255" s="636">
        <v>0</v>
      </c>
      <c r="EW255" s="613">
        <v>7.9472464507471016E-2</v>
      </c>
      <c r="EX255" s="662">
        <v>10.87144983370368</v>
      </c>
      <c r="EY255" s="613">
        <v>-6.2318446056157106E-2</v>
      </c>
    </row>
    <row r="256" spans="1:155" x14ac:dyDescent="0.25">
      <c r="A256" s="72" t="s">
        <v>900</v>
      </c>
      <c r="B256" s="636">
        <v>0.17271074080892998</v>
      </c>
      <c r="C256" s="613">
        <v>7.133396765082313E-2</v>
      </c>
      <c r="D256" s="636">
        <v>0.17271074080892998</v>
      </c>
      <c r="E256" s="613">
        <v>9.0115476858076971E-2</v>
      </c>
      <c r="F256" s="636">
        <v>8.5293392574400245E-2</v>
      </c>
      <c r="G256" s="613">
        <v>0.20154635258148232</v>
      </c>
      <c r="H256" s="636">
        <v>8.5293392574400245E-2</v>
      </c>
      <c r="I256" s="613">
        <v>0.22032786178873617</v>
      </c>
      <c r="J256" s="636">
        <v>0.17271074080892998</v>
      </c>
      <c r="K256" s="613">
        <v>7.133396765082313E-2</v>
      </c>
      <c r="L256" s="636">
        <v>0.15163722093681445</v>
      </c>
      <c r="M256" s="613">
        <v>0.10296295327435982</v>
      </c>
      <c r="N256" s="636">
        <v>0.14104974101817494</v>
      </c>
      <c r="O256" s="613">
        <v>-0.18276897739265807</v>
      </c>
      <c r="P256" s="636">
        <v>-0.13154497214053987</v>
      </c>
      <c r="Q256" s="613">
        <v>-4.52279549675281E-2</v>
      </c>
      <c r="R256" s="636">
        <v>5.4794391479900673E-2</v>
      </c>
      <c r="S256" s="613">
        <v>8.0404052447242177E-2</v>
      </c>
      <c r="T256" s="636">
        <v>7.0627200117133235E-2</v>
      </c>
      <c r="U256" s="613">
        <v>9.6237580451698571E-2</v>
      </c>
      <c r="V256" s="636">
        <v>6.3771579127632427E-2</v>
      </c>
      <c r="W256" s="613">
        <v>8.9381647975515149E-2</v>
      </c>
      <c r="X256" s="636">
        <v>0.12018204844295992</v>
      </c>
      <c r="Y256" s="613">
        <v>0.14433627074113792</v>
      </c>
      <c r="Z256" s="636">
        <v>5.4794391479900673E-2</v>
      </c>
      <c r="AA256" s="613">
        <v>8.0404052447242177E-2</v>
      </c>
      <c r="AB256" s="636">
        <v>0.17821752528721962</v>
      </c>
      <c r="AC256" s="613">
        <v>0.19117674650118055</v>
      </c>
      <c r="AD256" s="636">
        <v>0.33067023383974042</v>
      </c>
      <c r="AE256" s="613">
        <v>1.706003975639659</v>
      </c>
      <c r="AF256" s="636">
        <v>0.40628000832698619</v>
      </c>
      <c r="AG256" s="613">
        <v>0.18044621267211983</v>
      </c>
      <c r="AH256" s="636">
        <v>0.95467989883987048</v>
      </c>
      <c r="AI256" s="613">
        <v>1.8105259934549058</v>
      </c>
      <c r="AJ256" s="636">
        <v>0.43932726769934294</v>
      </c>
      <c r="AK256" s="613">
        <v>0.16121675898316978</v>
      </c>
      <c r="AL256" s="636">
        <v>3.5460109521678684</v>
      </c>
      <c r="AM256" s="613">
        <v>0.10656792917740027</v>
      </c>
      <c r="AN256" s="636">
        <v>2.8540224609617422E-2</v>
      </c>
      <c r="AO256" s="613">
        <v>0.10656792917740027</v>
      </c>
      <c r="AP256" s="636">
        <v>0.49910450188787681</v>
      </c>
      <c r="AQ256" s="613">
        <v>0.17455396789211028</v>
      </c>
      <c r="AR256" s="636">
        <v>0.17821752528721962</v>
      </c>
      <c r="AS256" s="613">
        <v>0.19117674650118055</v>
      </c>
      <c r="AT256" s="636">
        <v>0.70130988790608162</v>
      </c>
      <c r="AU256" s="613">
        <v>0.46720356175928629</v>
      </c>
      <c r="AV256" s="636">
        <v>0.46935589188545596</v>
      </c>
      <c r="AW256" s="613">
        <v>0.17158828630649253</v>
      </c>
      <c r="AX256" s="636">
        <v>1.1680775930820881</v>
      </c>
      <c r="AY256" s="613">
        <v>0.11895664117938604</v>
      </c>
      <c r="AZ256" s="636">
        <v>0.70130988790608162</v>
      </c>
      <c r="BA256" s="613">
        <v>0.46720356175928629</v>
      </c>
      <c r="BB256" s="636">
        <v>0.66401203483859306</v>
      </c>
      <c r="BC256" s="613">
        <v>0.17829701944836848</v>
      </c>
      <c r="BD256" s="636">
        <v>0.34995550392665575</v>
      </c>
      <c r="BE256" s="613">
        <v>0.27506319592661715</v>
      </c>
      <c r="BF256" s="636">
        <v>0.60544401138123216</v>
      </c>
      <c r="BG256" s="613">
        <v>0.22963425736844204</v>
      </c>
      <c r="BH256" s="636">
        <v>0.52476280821353338</v>
      </c>
      <c r="BI256" s="613">
        <v>0.1235240611340937</v>
      </c>
      <c r="BJ256" s="636">
        <v>27.274590329930746</v>
      </c>
      <c r="BK256" s="613">
        <v>7.632265707782844E-2</v>
      </c>
      <c r="BL256" s="636">
        <v>0.54383770931075481</v>
      </c>
      <c r="BM256" s="613">
        <v>7.0442078822054499E-2</v>
      </c>
      <c r="BN256" s="636">
        <v>19.290014662163784</v>
      </c>
      <c r="BO256" s="613">
        <v>6.8658517067577127E-2</v>
      </c>
      <c r="BP256" s="636">
        <v>0.38804571075183092</v>
      </c>
      <c r="BQ256" s="613">
        <v>0.4662639141843713</v>
      </c>
      <c r="BR256" s="636">
        <v>0.13901259026602775</v>
      </c>
      <c r="BS256" s="613">
        <v>0.37868787668952875</v>
      </c>
      <c r="BT256" s="636">
        <v>0.406871472296923</v>
      </c>
      <c r="BU256" s="613">
        <v>0.70917918913302924</v>
      </c>
      <c r="BV256" s="636">
        <v>0.30695679917728846</v>
      </c>
      <c r="BW256" s="613">
        <v>0.49213107262017669</v>
      </c>
      <c r="BX256" s="636">
        <v>0.22294419242602784</v>
      </c>
      <c r="BY256" s="613">
        <v>0.50764373663278306</v>
      </c>
      <c r="BZ256" s="636">
        <v>27.400663590906959</v>
      </c>
      <c r="CA256" s="613">
        <v>1.9635367617968944E-2</v>
      </c>
      <c r="CB256" s="636">
        <v>0.66401203483859306</v>
      </c>
      <c r="CC256" s="613">
        <v>0.17829701944836848</v>
      </c>
      <c r="CD256" s="636">
        <v>0.17821752528721962</v>
      </c>
      <c r="CE256" s="614">
        <v>0.19117674650118055</v>
      </c>
      <c r="CF256" s="662">
        <v>9.8282668925065028E-2</v>
      </c>
      <c r="CG256" s="613">
        <v>0.1238943057920799</v>
      </c>
      <c r="CH256" s="662">
        <v>0.13422458923035585</v>
      </c>
      <c r="CI256" s="613">
        <v>0.15983785912660908</v>
      </c>
      <c r="CJ256" s="662">
        <v>0.11015096716215601</v>
      </c>
      <c r="CK256" s="613">
        <v>0.13576314326797242</v>
      </c>
      <c r="CL256" s="662">
        <v>7.8885012020159018E-2</v>
      </c>
      <c r="CM256" s="613">
        <v>0.1044957675502667</v>
      </c>
      <c r="CN256" s="662">
        <v>0.17162050932941958</v>
      </c>
      <c r="CO256" s="613">
        <v>0.19723547831771893</v>
      </c>
      <c r="CP256" s="662">
        <v>5.4794391479900673E-2</v>
      </c>
      <c r="CQ256" s="613">
        <v>8.0404052447242177E-2</v>
      </c>
      <c r="CR256" s="662">
        <v>0.70130988790608162</v>
      </c>
      <c r="CS256" s="613">
        <v>0.46720356175928629</v>
      </c>
      <c r="CT256" s="662">
        <v>0.28120831118825074</v>
      </c>
      <c r="CU256" s="613">
        <v>0.17158828630649253</v>
      </c>
      <c r="CV256" s="662">
        <v>0.39734147912882745</v>
      </c>
      <c r="CW256" s="613">
        <v>0.17158828630649253</v>
      </c>
      <c r="CX256" s="662">
        <v>0.29573947382634652</v>
      </c>
      <c r="CY256" s="613">
        <v>0.17158828630649253</v>
      </c>
      <c r="CZ256" s="662">
        <v>0.22491570559811766</v>
      </c>
      <c r="DA256" s="613">
        <v>0.17158828630649253</v>
      </c>
      <c r="DB256" s="662">
        <v>0.46935589188545596</v>
      </c>
      <c r="DC256" s="613">
        <v>0.17158828630649253</v>
      </c>
      <c r="DD256" s="662">
        <v>0.17605537587109513</v>
      </c>
      <c r="DE256" s="613">
        <v>0.17158828630649253</v>
      </c>
      <c r="DF256" s="662">
        <v>1.1680775930820881</v>
      </c>
      <c r="DG256" s="613">
        <v>0.11895664117938604</v>
      </c>
      <c r="DH256" s="662">
        <v>1.1512388008209422</v>
      </c>
      <c r="DI256" s="613">
        <v>0.11895664117938604</v>
      </c>
      <c r="DJ256" s="662">
        <v>1.1462419562672608</v>
      </c>
      <c r="DK256" s="613">
        <v>0.11895664117938604</v>
      </c>
      <c r="DL256" s="662">
        <v>1.3623497443663719</v>
      </c>
      <c r="DM256" s="613">
        <v>0.11895664117938604</v>
      </c>
      <c r="DN256" s="662">
        <v>0.91996881698513111</v>
      </c>
      <c r="DO256" s="613">
        <v>0.11895664117938604</v>
      </c>
      <c r="DP256" s="662">
        <v>1.0517532255845208</v>
      </c>
      <c r="DQ256" s="613">
        <v>0.11895664117938604</v>
      </c>
      <c r="DR256" s="662">
        <v>0.89833304554668802</v>
      </c>
      <c r="DS256" s="613">
        <v>0.11895664117938604</v>
      </c>
      <c r="DT256" s="662">
        <v>0.85082641062052133</v>
      </c>
      <c r="DU256" s="613">
        <v>0.11895664117938604</v>
      </c>
      <c r="DV256" s="662">
        <v>1.0751792633238972</v>
      </c>
      <c r="DW256" s="613">
        <v>0.11895664117938604</v>
      </c>
      <c r="DX256" s="662">
        <v>0.84577548279268533</v>
      </c>
      <c r="DY256" s="613">
        <v>0.11895664117938604</v>
      </c>
      <c r="DZ256" s="662">
        <v>-1.3399983401170787</v>
      </c>
      <c r="EA256" s="613">
        <v>0.11895664117938604</v>
      </c>
      <c r="EB256" s="662">
        <v>0.39783393828409458</v>
      </c>
      <c r="EC256" s="613">
        <v>0.17829701944836848</v>
      </c>
      <c r="ED256" s="662">
        <v>0.56213105799574747</v>
      </c>
      <c r="EE256" s="613">
        <v>0.17829701944836848</v>
      </c>
      <c r="EF256" s="662">
        <v>0.41839161538735181</v>
      </c>
      <c r="EG256" s="613">
        <v>0.17829701944836848</v>
      </c>
      <c r="EH256" s="662">
        <v>0.31819507951934134</v>
      </c>
      <c r="EI256" s="613">
        <v>0.17829701944836848</v>
      </c>
      <c r="EJ256" s="662">
        <v>0.66401203483859306</v>
      </c>
      <c r="EK256" s="613">
        <v>0.17829701944836848</v>
      </c>
      <c r="EL256" s="662">
        <v>0.24907088714030415</v>
      </c>
      <c r="EM256" s="613">
        <v>0.17829701944836848</v>
      </c>
      <c r="EN256" s="662">
        <v>0.14244126665974782</v>
      </c>
      <c r="EO256" s="613">
        <v>0.16805490988258931</v>
      </c>
      <c r="EP256" s="662">
        <v>5.1624942030211747</v>
      </c>
      <c r="EQ256" s="613">
        <v>0.59624629097264126</v>
      </c>
      <c r="ER256" s="636">
        <v>0</v>
      </c>
      <c r="ES256" s="613">
        <v>0.25761791778883669</v>
      </c>
      <c r="ET256" s="636">
        <v>0</v>
      </c>
      <c r="EU256" s="613">
        <v>1.6052062208550166</v>
      </c>
      <c r="EV256" s="636">
        <v>0</v>
      </c>
      <c r="EW256" s="613">
        <v>0.22088557431274497</v>
      </c>
      <c r="EX256" s="662">
        <v>23.90087277956339</v>
      </c>
      <c r="EY256" s="613">
        <v>-0.38552797786119908</v>
      </c>
    </row>
    <row r="257" spans="1:155" x14ac:dyDescent="0.25">
      <c r="A257" s="703" t="s">
        <v>14</v>
      </c>
      <c r="B257" s="636">
        <v>91.247602563329494</v>
      </c>
      <c r="C257" s="613">
        <v>7.8368119588232492</v>
      </c>
      <c r="D257" s="636">
        <v>91.247602563329494</v>
      </c>
      <c r="E257" s="613">
        <v>11.013428463656503</v>
      </c>
      <c r="F257" s="636">
        <v>3.2379685697356875</v>
      </c>
      <c r="G257" s="613">
        <v>53.685920312068887</v>
      </c>
      <c r="H257" s="636">
        <v>3.2379685697356875</v>
      </c>
      <c r="I257" s="613">
        <v>56.862536816902136</v>
      </c>
      <c r="J257" s="636">
        <v>91.247602563329494</v>
      </c>
      <c r="K257" s="613">
        <v>7.8368119588232492</v>
      </c>
      <c r="L257" s="636">
        <v>133.34613262092981</v>
      </c>
      <c r="M257" s="613">
        <v>72.722953169281581</v>
      </c>
      <c r="N257" s="636">
        <v>131.94894726312907</v>
      </c>
      <c r="O257" s="613">
        <v>-3.2318589712085184</v>
      </c>
      <c r="P257" s="636">
        <v>411.05549422286134</v>
      </c>
      <c r="Q257" s="613">
        <v>222.37199313396755</v>
      </c>
      <c r="R257" s="636">
        <v>2.2900236825207929</v>
      </c>
      <c r="S257" s="613">
        <v>3.3144905294384355</v>
      </c>
      <c r="T257" s="636">
        <v>147.65635432690436</v>
      </c>
      <c r="U257" s="613">
        <v>148.68742592577158</v>
      </c>
      <c r="V257" s="636">
        <v>84.712596818915983</v>
      </c>
      <c r="W257" s="613">
        <v>85.740808553994441</v>
      </c>
      <c r="X257" s="636">
        <v>129.44079475610806</v>
      </c>
      <c r="Y257" s="613">
        <v>128.9002742364313</v>
      </c>
      <c r="Z257" s="636">
        <v>2.2900236825207929</v>
      </c>
      <c r="AA257" s="613">
        <v>3.3144905294384355</v>
      </c>
      <c r="AB257" s="636">
        <v>5.9786686507512679</v>
      </c>
      <c r="AC257" s="613">
        <v>38.718630715910805</v>
      </c>
      <c r="AD257" s="636">
        <v>13.066819004471251</v>
      </c>
      <c r="AE257" s="613">
        <v>145.21499892453502</v>
      </c>
      <c r="AF257" s="636">
        <v>19.188338547754086</v>
      </c>
      <c r="AG257" s="613">
        <v>38.592400432612614</v>
      </c>
      <c r="AH257" s="636">
        <v>34.308598038319452</v>
      </c>
      <c r="AI257" s="613">
        <v>46.913930722933387</v>
      </c>
      <c r="AJ257" s="636">
        <v>16.676575694846466</v>
      </c>
      <c r="AK257" s="613">
        <v>34.43877579428846</v>
      </c>
      <c r="AL257" s="636">
        <v>588.18270055671974</v>
      </c>
      <c r="AM257" s="613">
        <v>30.218190089221402</v>
      </c>
      <c r="AN257" s="636">
        <v>3.2314679513222515</v>
      </c>
      <c r="AO257" s="613">
        <v>30.218190089221402</v>
      </c>
      <c r="AP257" s="636">
        <v>17.909507079656144</v>
      </c>
      <c r="AQ257" s="613">
        <v>37.764022044970019</v>
      </c>
      <c r="AR257" s="636">
        <v>5.9786686507512679</v>
      </c>
      <c r="AS257" s="613">
        <v>38.718630715910805</v>
      </c>
      <c r="AT257" s="636">
        <v>33.708435610851758</v>
      </c>
      <c r="AU257" s="613">
        <v>89.123873639195565</v>
      </c>
      <c r="AV257" s="636">
        <v>16.566272164719525</v>
      </c>
      <c r="AW257" s="613">
        <v>20.470597980916384</v>
      </c>
      <c r="AX257" s="636">
        <v>107.228581649029</v>
      </c>
      <c r="AY257" s="613">
        <v>23.577189437666156</v>
      </c>
      <c r="AZ257" s="636">
        <v>33.708435610851758</v>
      </c>
      <c r="BA257" s="613">
        <v>89.123873639195565</v>
      </c>
      <c r="BB257" s="636">
        <v>23.436808357931302</v>
      </c>
      <c r="BC257" s="613">
        <v>28.811443305188639</v>
      </c>
      <c r="BD257" s="636">
        <v>12.351944918176061</v>
      </c>
      <c r="BE257" s="613">
        <v>130.60131568628086</v>
      </c>
      <c r="BF257" s="636">
        <v>21.369605551875754</v>
      </c>
      <c r="BG257" s="613">
        <v>27.939827059854217</v>
      </c>
      <c r="BH257" s="636">
        <v>18.521901297255862</v>
      </c>
      <c r="BI257" s="613">
        <v>14.366696566942805</v>
      </c>
      <c r="BJ257" s="636">
        <v>130.27185012993206</v>
      </c>
      <c r="BK257" s="613">
        <v>27.110363469107245</v>
      </c>
      <c r="BL257" s="636">
        <v>31.86224984070515</v>
      </c>
      <c r="BM257" s="613">
        <v>27.078761781544049</v>
      </c>
      <c r="BN257" s="636">
        <v>92.1350556937943</v>
      </c>
      <c r="BO257" s="613">
        <v>14.718407125109536</v>
      </c>
      <c r="BP257" s="636">
        <v>13.696367655773876</v>
      </c>
      <c r="BQ257" s="613">
        <v>55.779151728414298</v>
      </c>
      <c r="BR257" s="636">
        <v>5.8097574456052721</v>
      </c>
      <c r="BS257" s="613">
        <v>44.904362793902564</v>
      </c>
      <c r="BT257" s="636">
        <v>19.5562633043183</v>
      </c>
      <c r="BU257" s="613">
        <v>95.858843503636862</v>
      </c>
      <c r="BV257" s="636">
        <v>15.105221921591365</v>
      </c>
      <c r="BW257" s="613">
        <v>70.613578698576561</v>
      </c>
      <c r="BX257" s="636">
        <v>12.04526406866947</v>
      </c>
      <c r="BY257" s="613">
        <v>72.447454527173448</v>
      </c>
      <c r="BZ257" s="636">
        <v>130.87401488330187</v>
      </c>
      <c r="CA257" s="613">
        <v>1.6092269654005957</v>
      </c>
      <c r="CB257" s="636">
        <v>23.436808357931302</v>
      </c>
      <c r="CC257" s="613">
        <v>28.811443305188639</v>
      </c>
      <c r="CD257" s="636">
        <v>5.9786686507512679</v>
      </c>
      <c r="CE257" s="614">
        <v>38.718630715910805</v>
      </c>
      <c r="CF257" s="662">
        <v>3.3396639400869468</v>
      </c>
      <c r="CG257" s="613">
        <v>4.364178477645928</v>
      </c>
      <c r="CH257" s="662">
        <v>4.2246199623967646</v>
      </c>
      <c r="CI257" s="613">
        <v>5.2491747081317914</v>
      </c>
      <c r="CJ257" s="662">
        <v>5.4204852549993534</v>
      </c>
      <c r="CK257" s="613">
        <v>6.4450943351430965</v>
      </c>
      <c r="CL257" s="662">
        <v>4.2620118985976765</v>
      </c>
      <c r="CM257" s="613">
        <v>5.28656834324374</v>
      </c>
      <c r="CN257" s="662">
        <v>6.0574760341834555</v>
      </c>
      <c r="CO257" s="613">
        <v>7.0821140561466134</v>
      </c>
      <c r="CP257" s="662">
        <v>2.2900236825207929</v>
      </c>
      <c r="CQ257" s="613">
        <v>3.3144905294384355</v>
      </c>
      <c r="CR257" s="662">
        <v>33.708435610851758</v>
      </c>
      <c r="CS257" s="613">
        <v>89.123873639195565</v>
      </c>
      <c r="CT257" s="662">
        <v>9.5555123482064968</v>
      </c>
      <c r="CU257" s="613">
        <v>20.470597980916384</v>
      </c>
      <c r="CV257" s="662">
        <v>12.506030036978281</v>
      </c>
      <c r="CW257" s="613">
        <v>20.470597980916384</v>
      </c>
      <c r="CX257" s="662">
        <v>14.553221805461646</v>
      </c>
      <c r="CY257" s="613">
        <v>20.470597980916384</v>
      </c>
      <c r="CZ257" s="662">
        <v>12.151781293963696</v>
      </c>
      <c r="DA257" s="613">
        <v>20.470597980916384</v>
      </c>
      <c r="DB257" s="662">
        <v>16.566272164719525</v>
      </c>
      <c r="DC257" s="613">
        <v>20.470597980916384</v>
      </c>
      <c r="DD257" s="662">
        <v>7.3578877197275974</v>
      </c>
      <c r="DE257" s="613">
        <v>20.470597980916384</v>
      </c>
      <c r="DF257" s="662">
        <v>107.228581649029</v>
      </c>
      <c r="DG257" s="613">
        <v>23.577189437666156</v>
      </c>
      <c r="DH257" s="662">
        <v>102.688375391455</v>
      </c>
      <c r="DI257" s="613">
        <v>23.577189437666156</v>
      </c>
      <c r="DJ257" s="662">
        <v>101.68580401290524</v>
      </c>
      <c r="DK257" s="613">
        <v>23.577189437666156</v>
      </c>
      <c r="DL257" s="662">
        <v>156.66242325379545</v>
      </c>
      <c r="DM257" s="613">
        <v>23.577189437666156</v>
      </c>
      <c r="DN257" s="662">
        <v>18.870756248287762</v>
      </c>
      <c r="DO257" s="613">
        <v>23.577189437666156</v>
      </c>
      <c r="DP257" s="662">
        <v>22.218690106632206</v>
      </c>
      <c r="DQ257" s="613">
        <v>23.577189437666156</v>
      </c>
      <c r="DR257" s="662">
        <v>26.131832556269963</v>
      </c>
      <c r="DS257" s="613">
        <v>23.577189437666156</v>
      </c>
      <c r="DT257" s="662">
        <v>24.40850151481634</v>
      </c>
      <c r="DU257" s="613">
        <v>23.577189437666156</v>
      </c>
      <c r="DV257" s="662">
        <v>28.314565948192595</v>
      </c>
      <c r="DW257" s="613">
        <v>23.577189437666156</v>
      </c>
      <c r="DX257" s="662">
        <v>21.08441100434273</v>
      </c>
      <c r="DY257" s="613">
        <v>23.577189437666156</v>
      </c>
      <c r="DZ257" s="662">
        <v>-1729.4313464817319</v>
      </c>
      <c r="EA257" s="613">
        <v>23.577189437666156</v>
      </c>
      <c r="EB257" s="662">
        <v>13.518473525003404</v>
      </c>
      <c r="EC257" s="613">
        <v>28.811443305188639</v>
      </c>
      <c r="ED257" s="662">
        <v>17.692660508101394</v>
      </c>
      <c r="EE257" s="613">
        <v>28.811443305188639</v>
      </c>
      <c r="EF257" s="662">
        <v>20.588884877278382</v>
      </c>
      <c r="EG257" s="613">
        <v>28.811443305188639</v>
      </c>
      <c r="EH257" s="662">
        <v>17.191494052635793</v>
      </c>
      <c r="EI257" s="613">
        <v>28.811443305188639</v>
      </c>
      <c r="EJ257" s="662">
        <v>23.436808357931302</v>
      </c>
      <c r="EK257" s="613">
        <v>28.811443305188639</v>
      </c>
      <c r="EL257" s="662">
        <v>10.409427220064716</v>
      </c>
      <c r="EM257" s="613">
        <v>28.811443305188639</v>
      </c>
      <c r="EN257" s="662">
        <v>4.6592466638981476</v>
      </c>
      <c r="EO257" s="613">
        <v>5.683821156995176</v>
      </c>
      <c r="EP257" s="662">
        <v>9.9651454134940369</v>
      </c>
      <c r="EQ257" s="613">
        <v>2.215379437719414</v>
      </c>
      <c r="ER257" s="636">
        <v>0</v>
      </c>
      <c r="ES257" s="613">
        <v>48.955533596804557</v>
      </c>
      <c r="ET257" s="636">
        <v>0</v>
      </c>
      <c r="EU257" s="613">
        <v>35.53188447408759</v>
      </c>
      <c r="EV257" s="636">
        <v>0</v>
      </c>
      <c r="EW257" s="613">
        <v>45.849331547654494</v>
      </c>
      <c r="EX257" s="662">
        <v>114.15793524484299</v>
      </c>
      <c r="EY257" s="613">
        <v>-41.727262199977787</v>
      </c>
    </row>
    <row r="258" spans="1:155" x14ac:dyDescent="0.25">
      <c r="A258" s="703" t="s">
        <v>10</v>
      </c>
      <c r="B258" s="636">
        <v>8.1328795833971235E-2</v>
      </c>
      <c r="C258" s="613">
        <v>7.1758734219721884E-2</v>
      </c>
      <c r="D258" s="636">
        <v>8.1328795833971235E-2</v>
      </c>
      <c r="E258" s="613">
        <v>9.8726589456048536E-2</v>
      </c>
      <c r="F258" s="636">
        <v>3.337280573853442E-2</v>
      </c>
      <c r="G258" s="613">
        <v>0.41262478580229134</v>
      </c>
      <c r="H258" s="636">
        <v>3.337280573853442E-2</v>
      </c>
      <c r="I258" s="613">
        <v>0.43959264103861795</v>
      </c>
      <c r="J258" s="636">
        <v>8.1328795833971235E-2</v>
      </c>
      <c r="K258" s="613">
        <v>7.1758734219721884E-2</v>
      </c>
      <c r="L258" s="636">
        <v>0.13153144531865973</v>
      </c>
      <c r="M258" s="613">
        <v>8.2291733862423375E-2</v>
      </c>
      <c r="N258" s="636">
        <v>0.13038963004257598</v>
      </c>
      <c r="O258" s="613">
        <v>-1.6084357178723221</v>
      </c>
      <c r="P258" s="636">
        <v>-0.87751790213496239</v>
      </c>
      <c r="Q258" s="613">
        <v>-0.46057220133585397</v>
      </c>
      <c r="R258" s="636">
        <v>2.191005818794842E-2</v>
      </c>
      <c r="S258" s="613">
        <v>0.17287627602975769</v>
      </c>
      <c r="T258" s="636">
        <v>2.9642623409329882E-2</v>
      </c>
      <c r="U258" s="613">
        <v>4.1602877085696391E-2</v>
      </c>
      <c r="V258" s="636">
        <v>2.6294415416104704E-2</v>
      </c>
      <c r="W258" s="613">
        <v>3.8254516965887476E-2</v>
      </c>
      <c r="X258" s="636">
        <v>0.87263935966823269</v>
      </c>
      <c r="Y258" s="613">
        <v>0.87404843345383221</v>
      </c>
      <c r="Z258" s="636">
        <v>2.191005818794842E-2</v>
      </c>
      <c r="AA258" s="613">
        <v>0.17287627602975769</v>
      </c>
      <c r="AB258" s="636">
        <v>23.058848262227965</v>
      </c>
      <c r="AC258" s="613">
        <v>0.31281461832707791</v>
      </c>
      <c r="AD258" s="636">
        <v>43.207244695305171</v>
      </c>
      <c r="AE258" s="613">
        <v>0.30925734748816891</v>
      </c>
      <c r="AF258" s="636">
        <v>40.291245340469004</v>
      </c>
      <c r="AG258" s="613">
        <v>0.31086018009536631</v>
      </c>
      <c r="AH258" s="636">
        <v>93.703656982526368</v>
      </c>
      <c r="AI258" s="613">
        <v>4.740318407416563</v>
      </c>
      <c r="AJ258" s="636">
        <v>70.964160129242657</v>
      </c>
      <c r="AK258" s="613">
        <v>0.27266667709918885</v>
      </c>
      <c r="AL258" s="636">
        <v>19.315493669587578</v>
      </c>
      <c r="AM258" s="613">
        <v>0.233840168455174</v>
      </c>
      <c r="AN258" s="636">
        <v>2.9450184394276338E-2</v>
      </c>
      <c r="AO258" s="613">
        <v>0.233840168455174</v>
      </c>
      <c r="AP258" s="636">
        <v>30.222089499361026</v>
      </c>
      <c r="AQ258" s="613">
        <v>0.3044797350751749</v>
      </c>
      <c r="AR258" s="636">
        <v>23.058848262227965</v>
      </c>
      <c r="AS258" s="613">
        <v>0.31281461832707791</v>
      </c>
      <c r="AT258" s="636">
        <v>65.876154830281735</v>
      </c>
      <c r="AU258" s="613">
        <v>-27.80920323589552</v>
      </c>
      <c r="AV258" s="636">
        <v>-13.366992347395319</v>
      </c>
      <c r="AW258" s="613">
        <v>11.027679486956245</v>
      </c>
      <c r="AX258" s="636">
        <v>43.318781326003027</v>
      </c>
      <c r="AY258" s="613">
        <v>0.19138573677011039</v>
      </c>
      <c r="AZ258" s="636">
        <v>65.876154830281735</v>
      </c>
      <c r="BA258" s="613">
        <v>-27.80920323589552</v>
      </c>
      <c r="BB258" s="636">
        <v>-18.910690036531971</v>
      </c>
      <c r="BC258" s="613">
        <v>11.39524603471849</v>
      </c>
      <c r="BD258" s="636">
        <v>-9.9665363187942848</v>
      </c>
      <c r="BE258" s="613">
        <v>2.3415958692700616</v>
      </c>
      <c r="BF258" s="636">
        <v>-17.242705603202065</v>
      </c>
      <c r="BG258" s="613">
        <v>2.6633331738890096</v>
      </c>
      <c r="BH258" s="636">
        <v>-14.944950224039873</v>
      </c>
      <c r="BI258" s="613">
        <v>1.5126135752474923</v>
      </c>
      <c r="BJ258" s="636">
        <v>50.158859215985835</v>
      </c>
      <c r="BK258" s="613">
        <v>0.19608881574725148</v>
      </c>
      <c r="BL258" s="636">
        <v>26.612895745386176</v>
      </c>
      <c r="BM258" s="613">
        <v>0.19801189794516857</v>
      </c>
      <c r="BN258" s="636">
        <v>35.474964720257731</v>
      </c>
      <c r="BO258" s="613">
        <v>0.11819071721262948</v>
      </c>
      <c r="BP258" s="636">
        <v>-11.051324028814291</v>
      </c>
      <c r="BQ258" s="613">
        <v>9.1429804490709934</v>
      </c>
      <c r="BR258" s="636">
        <v>5.558550536514912E-2</v>
      </c>
      <c r="BS258" s="613">
        <v>8.6538493265958021</v>
      </c>
      <c r="BT258" s="636">
        <v>38.218665624526629</v>
      </c>
      <c r="BU258" s="613">
        <v>0.90896298021494215</v>
      </c>
      <c r="BV258" s="636">
        <v>25.65771270400419</v>
      </c>
      <c r="BW258" s="613">
        <v>3.929058567798934</v>
      </c>
      <c r="BX258" s="636">
        <v>24.109109441243099</v>
      </c>
      <c r="BY258" s="613">
        <v>3.7916890767761133</v>
      </c>
      <c r="BZ258" s="636">
        <v>50.390712045733622</v>
      </c>
      <c r="CA258" s="613">
        <v>1.4348854447223365E-2</v>
      </c>
      <c r="CB258" s="636">
        <v>-18.910690036531971</v>
      </c>
      <c r="CC258" s="613">
        <v>11.39524603471849</v>
      </c>
      <c r="CD258" s="636">
        <v>23.058848262227965</v>
      </c>
      <c r="CE258" s="614">
        <v>0.31281461832707791</v>
      </c>
      <c r="CF258" s="662">
        <v>2.2685767656436324</v>
      </c>
      <c r="CG258" s="613">
        <v>2.4196450612929392</v>
      </c>
      <c r="CH258" s="662">
        <v>2.955993264028598</v>
      </c>
      <c r="CI258" s="613">
        <v>3.1070927926012213</v>
      </c>
      <c r="CJ258" s="662">
        <v>9.2072300632847792</v>
      </c>
      <c r="CK258" s="613">
        <v>9.3586136182083042</v>
      </c>
      <c r="CL258" s="662">
        <v>8.5305984756647906</v>
      </c>
      <c r="CM258" s="613">
        <v>8.6819512876798459</v>
      </c>
      <c r="CN258" s="662">
        <v>-4.8876557736326234</v>
      </c>
      <c r="CO258" s="613">
        <v>-4.7369126230193492</v>
      </c>
      <c r="CP258" s="662">
        <v>2.191005818794842E-2</v>
      </c>
      <c r="CQ258" s="613">
        <v>0.17287627602975769</v>
      </c>
      <c r="CR258" s="662">
        <v>65.876154830281735</v>
      </c>
      <c r="CS258" s="613">
        <v>-27.80920323589552</v>
      </c>
      <c r="CT258" s="662">
        <v>6.4908965949423392</v>
      </c>
      <c r="CU258" s="613">
        <v>11.027679486956245</v>
      </c>
      <c r="CV258" s="662">
        <v>8.7505481861317804</v>
      </c>
      <c r="CW258" s="613">
        <v>11.027679486956245</v>
      </c>
      <c r="CX258" s="662">
        <v>24.720085937197894</v>
      </c>
      <c r="CY258" s="613">
        <v>11.027679486956245</v>
      </c>
      <c r="CZ258" s="662">
        <v>24.322308207775386</v>
      </c>
      <c r="DA258" s="613">
        <v>11.027679486956245</v>
      </c>
      <c r="DB258" s="662">
        <v>-13.366992347395319</v>
      </c>
      <c r="DC258" s="613">
        <v>11.027679486956245</v>
      </c>
      <c r="DD258" s="662">
        <v>7.0397415236407274E-2</v>
      </c>
      <c r="DE258" s="613">
        <v>11.027679486956245</v>
      </c>
      <c r="DF258" s="662">
        <v>43.318781326003027</v>
      </c>
      <c r="DG258" s="613">
        <v>0.19138573677011039</v>
      </c>
      <c r="DH258" s="662">
        <v>43.406225801609615</v>
      </c>
      <c r="DI258" s="613">
        <v>0.19138573677011039</v>
      </c>
      <c r="DJ258" s="662">
        <v>43.904055858407126</v>
      </c>
      <c r="DK258" s="613">
        <v>0.19138573677011039</v>
      </c>
      <c r="DL258" s="662">
        <v>38.275334059924973</v>
      </c>
      <c r="DM258" s="613">
        <v>0.19138573677011039</v>
      </c>
      <c r="DN258" s="662">
        <v>19.446597210380645</v>
      </c>
      <c r="DO258" s="613">
        <v>0.19138573677011039</v>
      </c>
      <c r="DP258" s="662">
        <v>21.94686724320221</v>
      </c>
      <c r="DQ258" s="613">
        <v>0.19138573677011039</v>
      </c>
      <c r="DR258" s="662">
        <v>39.046799157664964</v>
      </c>
      <c r="DS258" s="613">
        <v>0.19138573677011039</v>
      </c>
      <c r="DT258" s="662">
        <v>39.05522194322976</v>
      </c>
      <c r="DU258" s="613">
        <v>0.19138573677011039</v>
      </c>
      <c r="DV258" s="662">
        <v>1.5556153686092147</v>
      </c>
      <c r="DW258" s="613">
        <v>0.19138573677011039</v>
      </c>
      <c r="DX258" s="662">
        <v>15.978815156952049</v>
      </c>
      <c r="DY258" s="613">
        <v>0.19138573677011039</v>
      </c>
      <c r="DZ258" s="662">
        <v>-5.7495832613971825</v>
      </c>
      <c r="EA258" s="613">
        <v>0.19138573677011039</v>
      </c>
      <c r="EB258" s="662">
        <v>9.1828685448491196</v>
      </c>
      <c r="EC258" s="613">
        <v>11.39524603471849</v>
      </c>
      <c r="ED258" s="662">
        <v>12.379666277726283</v>
      </c>
      <c r="EE258" s="613">
        <v>11.39524603471849</v>
      </c>
      <c r="EF258" s="662">
        <v>34.972256337520363</v>
      </c>
      <c r="EG258" s="613">
        <v>11.39524603471849</v>
      </c>
      <c r="EH258" s="662">
        <v>34.409508102984994</v>
      </c>
      <c r="EI258" s="613">
        <v>11.39524603471849</v>
      </c>
      <c r="EJ258" s="662">
        <v>-18.910690036531971</v>
      </c>
      <c r="EK258" s="613">
        <v>11.39524603471849</v>
      </c>
      <c r="EL258" s="662">
        <v>9.9593361341913211E-2</v>
      </c>
      <c r="EM258" s="613">
        <v>11.39524603471849</v>
      </c>
      <c r="EN258" s="662">
        <v>4.2654735908875621</v>
      </c>
      <c r="EO258" s="613">
        <v>4.4166326159935538</v>
      </c>
      <c r="EP258" s="662">
        <v>0.19725032907308906</v>
      </c>
      <c r="EQ258" s="613">
        <v>0.17360402575919484</v>
      </c>
      <c r="ER258" s="636">
        <v>0</v>
      </c>
      <c r="ES258" s="613">
        <v>0.40765119992860016</v>
      </c>
      <c r="ET258" s="636">
        <v>0</v>
      </c>
      <c r="EU258" s="613">
        <v>0.31645434820808771</v>
      </c>
      <c r="EV258" s="636">
        <v>0</v>
      </c>
      <c r="EW258" s="613">
        <v>0.36612010337319556</v>
      </c>
      <c r="EX258" s="662">
        <v>43.954482849691701</v>
      </c>
      <c r="EY258" s="613">
        <v>-0.42030172482318107</v>
      </c>
    </row>
    <row r="259" spans="1:155" x14ac:dyDescent="0.25">
      <c r="A259" s="703" t="s">
        <v>8</v>
      </c>
      <c r="B259" s="631">
        <v>5128.797594074691</v>
      </c>
      <c r="C259" s="617">
        <v>3518.1216982055284</v>
      </c>
      <c r="D259" s="631">
        <v>5128.797594074691</v>
      </c>
      <c r="E259" s="617">
        <v>4705.2062092868937</v>
      </c>
      <c r="F259" s="631">
        <v>2647.0313422240888</v>
      </c>
      <c r="G259" s="617">
        <v>19842.779219227745</v>
      </c>
      <c r="H259" s="631">
        <v>2647.0313422240888</v>
      </c>
      <c r="I259" s="617">
        <v>21029.863730309113</v>
      </c>
      <c r="J259" s="631">
        <v>5128.797594074691</v>
      </c>
      <c r="K259" s="617">
        <v>3518.1216982055284</v>
      </c>
      <c r="L259" s="631">
        <v>5178.7085171435074</v>
      </c>
      <c r="M259" s="617">
        <v>20295.281085088791</v>
      </c>
      <c r="N259" s="631">
        <v>4904.7650833168791</v>
      </c>
      <c r="O259" s="617">
        <v>-70770.923732379335</v>
      </c>
      <c r="P259" s="631">
        <v>7508.8370908977467</v>
      </c>
      <c r="Q259" s="617">
        <v>-10235.154271426742</v>
      </c>
      <c r="R259" s="631">
        <v>1872.8109595621627</v>
      </c>
      <c r="S259" s="617">
        <v>2485.1013141339899</v>
      </c>
      <c r="T259" s="631">
        <v>1490.1235231757119</v>
      </c>
      <c r="U259" s="617">
        <v>107649.48636328304</v>
      </c>
      <c r="V259" s="631">
        <v>1655.8275420532987</v>
      </c>
      <c r="W259" s="617">
        <v>62114.611433445323</v>
      </c>
      <c r="X259" s="631">
        <v>4770.5603670659084</v>
      </c>
      <c r="Y259" s="617">
        <v>49122.928250040881</v>
      </c>
      <c r="Z259" s="631">
        <v>1872.8109595621627</v>
      </c>
      <c r="AA259" s="617">
        <v>2485.1013141339899</v>
      </c>
      <c r="AB259" s="631">
        <v>16071.011919618652</v>
      </c>
      <c r="AC259" s="617">
        <v>13851.94698837153</v>
      </c>
      <c r="AD259" s="631">
        <v>6685.1113665042758</v>
      </c>
      <c r="AE259" s="617">
        <v>13804.757487478082</v>
      </c>
      <c r="AF259" s="631">
        <v>8172.7165361953957</v>
      </c>
      <c r="AG259" s="617">
        <v>13079.232658665624</v>
      </c>
      <c r="AH259" s="631">
        <v>17775.426650641915</v>
      </c>
      <c r="AI259" s="617">
        <v>12823.45231818627</v>
      </c>
      <c r="AJ259" s="631">
        <v>8041.7329576585198</v>
      </c>
      <c r="AK259" s="617">
        <v>12026.901048016327</v>
      </c>
      <c r="AL259" s="631">
        <v>43852.268664025942</v>
      </c>
      <c r="AM259" s="617">
        <v>10095.603421256108</v>
      </c>
      <c r="AN259" s="631">
        <v>1674.426674078964</v>
      </c>
      <c r="AO259" s="617">
        <v>10095.603421256108</v>
      </c>
      <c r="AP259" s="631">
        <v>9462.5645531916962</v>
      </c>
      <c r="AQ259" s="617">
        <v>12856.316384450678</v>
      </c>
      <c r="AR259" s="631">
        <v>16071.011919618652</v>
      </c>
      <c r="AS259" s="617">
        <v>13851.94698837153</v>
      </c>
      <c r="AT259" s="631">
        <v>31873.922831613498</v>
      </c>
      <c r="AU259" s="617">
        <v>29281.567579036378</v>
      </c>
      <c r="AV259" s="631">
        <v>9543.5133749066663</v>
      </c>
      <c r="AW259" s="617">
        <v>4536.4401376337091</v>
      </c>
      <c r="AX259" s="631">
        <v>54071.704086849706</v>
      </c>
      <c r="AY259" s="617">
        <v>8784.151989384598</v>
      </c>
      <c r="AZ259" s="631">
        <v>31873.922831613498</v>
      </c>
      <c r="BA259" s="617">
        <v>29281.567579036378</v>
      </c>
      <c r="BB259" s="631">
        <v>13501.49821306093</v>
      </c>
      <c r="BC259" s="617">
        <v>8131.8657743310723</v>
      </c>
      <c r="BD259" s="631">
        <v>7115.7198409289467</v>
      </c>
      <c r="BE259" s="617">
        <v>40015.363732001337</v>
      </c>
      <c r="BF259" s="631">
        <v>12310.622110575401</v>
      </c>
      <c r="BG259" s="617">
        <v>10277.747119469963</v>
      </c>
      <c r="BH259" s="631">
        <v>10670.114012463777</v>
      </c>
      <c r="BI259" s="617">
        <v>4660.4282447625328</v>
      </c>
      <c r="BJ259" s="631">
        <v>12454.76468160299</v>
      </c>
      <c r="BK259" s="617">
        <v>9566.0328867213302</v>
      </c>
      <c r="BL259" s="631">
        <v>18767.353707906539</v>
      </c>
      <c r="BM259" s="617">
        <v>8940.6635506358052</v>
      </c>
      <c r="BN259" s="631">
        <v>8808.6600170955298</v>
      </c>
      <c r="BO259" s="617">
        <v>4851.223678416125</v>
      </c>
      <c r="BP259" s="631">
        <v>7890.2161337713387</v>
      </c>
      <c r="BQ259" s="617">
        <v>19645.659782017123</v>
      </c>
      <c r="BR259" s="631">
        <v>4751.294713489774</v>
      </c>
      <c r="BS259" s="617">
        <v>16167.360658033345</v>
      </c>
      <c r="BT259" s="631">
        <v>23549.951102693325</v>
      </c>
      <c r="BU259" s="617">
        <v>32544.978375121718</v>
      </c>
      <c r="BV259" s="631">
        <v>2859.9980725508312</v>
      </c>
      <c r="BW259" s="617">
        <v>23858.241696645444</v>
      </c>
      <c r="BX259" s="631">
        <v>-9838.8670939677941</v>
      </c>
      <c r="BY259" s="617">
        <v>24551.554724310587</v>
      </c>
      <c r="BZ259" s="631">
        <v>12512.335218102595</v>
      </c>
      <c r="CA259" s="617">
        <v>804.71614091082142</v>
      </c>
      <c r="CB259" s="631">
        <v>13501.49821306093</v>
      </c>
      <c r="CC259" s="617">
        <v>8131.8657743310723</v>
      </c>
      <c r="CD259" s="631">
        <v>16071.011919618652</v>
      </c>
      <c r="CE259" s="251">
        <v>13851.94698837153</v>
      </c>
      <c r="CF259" s="658">
        <v>2249.2751810544892</v>
      </c>
      <c r="CG259" s="617">
        <v>2861.5826403629485</v>
      </c>
      <c r="CH259" s="658">
        <v>11799.892847591924</v>
      </c>
      <c r="CI259" s="617">
        <v>3744.8268418316643</v>
      </c>
      <c r="CJ259" s="658">
        <v>7547.9458089064328</v>
      </c>
      <c r="CK259" s="617">
        <v>3283.5611357428193</v>
      </c>
      <c r="CL259" s="658">
        <v>-4585.9796740299662</v>
      </c>
      <c r="CM259" s="617">
        <v>2637.2686276964919</v>
      </c>
      <c r="CN259" s="658">
        <v>3489.5963905217623</v>
      </c>
      <c r="CO259" s="617">
        <v>4101.960204103525</v>
      </c>
      <c r="CP259" s="658">
        <v>1872.8109595621627</v>
      </c>
      <c r="CQ259" s="617">
        <v>2485.1013141339899</v>
      </c>
      <c r="CR259" s="658">
        <v>31873.922831613498</v>
      </c>
      <c r="CS259" s="617">
        <v>29281.567579036378</v>
      </c>
      <c r="CT259" s="658">
        <v>6435.6705203461315</v>
      </c>
      <c r="CU259" s="617">
        <v>4536.4401376337091</v>
      </c>
      <c r="CV259" s="658">
        <v>9272.9949649369191</v>
      </c>
      <c r="CW259" s="617">
        <v>4536.4401376337091</v>
      </c>
      <c r="CX259" s="658">
        <v>4134.9703304911991</v>
      </c>
      <c r="CY259" s="617">
        <v>4536.4401376337091</v>
      </c>
      <c r="CZ259" s="658">
        <v>-6579.34232801689</v>
      </c>
      <c r="DA259" s="617">
        <v>4536.4401376337091</v>
      </c>
      <c r="DB259" s="658">
        <v>9543.5133749066663</v>
      </c>
      <c r="DC259" s="617">
        <v>4536.4401376337091</v>
      </c>
      <c r="DD259" s="658">
        <v>6017.3756568164117</v>
      </c>
      <c r="DE259" s="617">
        <v>4536.4401376337091</v>
      </c>
      <c r="DF259" s="658">
        <v>54071.704086849706</v>
      </c>
      <c r="DG259" s="617">
        <v>8784.151989384598</v>
      </c>
      <c r="DH259" s="658">
        <v>51529.500076967772</v>
      </c>
      <c r="DI259" s="617">
        <v>8784.151989384598</v>
      </c>
      <c r="DJ259" s="658">
        <v>51224.550659631277</v>
      </c>
      <c r="DK259" s="617">
        <v>8784.151989384598</v>
      </c>
      <c r="DL259" s="658">
        <v>79558.857694014179</v>
      </c>
      <c r="DM259" s="617">
        <v>8784.151989384598</v>
      </c>
      <c r="DN259" s="658">
        <v>5215.8215967893848</v>
      </c>
      <c r="DO259" s="617">
        <v>8784.151989384598</v>
      </c>
      <c r="DP259" s="658">
        <v>8015.8304095489748</v>
      </c>
      <c r="DQ259" s="617">
        <v>8784.151989384598</v>
      </c>
      <c r="DR259" s="658">
        <v>4502.8716576464458</v>
      </c>
      <c r="DS259" s="617">
        <v>8784.151989384598</v>
      </c>
      <c r="DT259" s="658">
        <v>-6196.7097259689926</v>
      </c>
      <c r="DU259" s="617">
        <v>8784.151989384598</v>
      </c>
      <c r="DV259" s="658">
        <v>9881.0574794684198</v>
      </c>
      <c r="DW259" s="617">
        <v>8784.151989384598</v>
      </c>
      <c r="DX259" s="658">
        <v>6391.2852634007731</v>
      </c>
      <c r="DY259" s="617">
        <v>8784.151989384598</v>
      </c>
      <c r="DZ259" s="658">
        <v>37706.604039604441</v>
      </c>
      <c r="EA259" s="617">
        <v>8784.151989384598</v>
      </c>
      <c r="EB259" s="658">
        <v>9104.7385398725855</v>
      </c>
      <c r="EC259" s="617">
        <v>8131.8657743310723</v>
      </c>
      <c r="ED259" s="658">
        <v>13118.787602688644</v>
      </c>
      <c r="EE259" s="617">
        <v>8131.8657743310723</v>
      </c>
      <c r="EF259" s="658">
        <v>10146.276045130675</v>
      </c>
      <c r="EG259" s="617">
        <v>15134.092035504898</v>
      </c>
      <c r="EH259" s="658">
        <v>8168.0398635668171</v>
      </c>
      <c r="EI259" s="617">
        <v>-16028.571318027931</v>
      </c>
      <c r="EJ259" s="658">
        <v>13501.49821306093</v>
      </c>
      <c r="EK259" s="617">
        <v>7027.5398143480797</v>
      </c>
      <c r="EL259" s="658">
        <v>8512.964092599459</v>
      </c>
      <c r="EM259" s="617">
        <v>8131.8657743310723</v>
      </c>
      <c r="EN259" s="658">
        <v>2932.7935602862717</v>
      </c>
      <c r="EO259" s="617">
        <v>3545.1320754061267</v>
      </c>
      <c r="EP259" s="658">
        <v>8749.012149015125</v>
      </c>
      <c r="EQ259" s="617">
        <v>21727.709252399654</v>
      </c>
      <c r="ER259" s="631">
        <v>0</v>
      </c>
      <c r="ES259" s="617">
        <v>16914.183347960872</v>
      </c>
      <c r="ET259" s="631">
        <v>0</v>
      </c>
      <c r="EU259" s="617">
        <v>13842.332539515368</v>
      </c>
      <c r="EV259" s="631">
        <v>0</v>
      </c>
      <c r="EW259" s="617">
        <v>16381.047623321043</v>
      </c>
      <c r="EX259" s="658">
        <v>10914.178455238718</v>
      </c>
      <c r="EY259" s="617">
        <v>-20709.997322465224</v>
      </c>
    </row>
    <row r="260" spans="1:155" x14ac:dyDescent="0.25">
      <c r="A260" s="703" t="s">
        <v>2353</v>
      </c>
      <c r="B260" s="631">
        <v>5152.2172278357893</v>
      </c>
      <c r="C260" s="617">
        <v>3531.9427133028357</v>
      </c>
      <c r="D260" s="631">
        <v>5152.2172278357893</v>
      </c>
      <c r="E260" s="617">
        <v>4720.7373633760944</v>
      </c>
      <c r="F260" s="631">
        <v>2658.9674599885434</v>
      </c>
      <c r="G260" s="617">
        <v>19879.283692010496</v>
      </c>
      <c r="H260" s="631">
        <v>2658.9674599885434</v>
      </c>
      <c r="I260" s="617">
        <v>21068.078342083762</v>
      </c>
      <c r="J260" s="631">
        <v>5152.2172278357893</v>
      </c>
      <c r="K260" s="617">
        <v>3531.9427133028357</v>
      </c>
      <c r="L260" s="631">
        <v>5230.3178562006451</v>
      </c>
      <c r="M260" s="617">
        <v>20332.154080365108</v>
      </c>
      <c r="N260" s="631">
        <v>4952.9447651093051</v>
      </c>
      <c r="O260" s="617">
        <v>-70809.304607919839</v>
      </c>
      <c r="P260" s="631">
        <v>7377.8397045996307</v>
      </c>
      <c r="Q260" s="617">
        <v>-10295.250357493102</v>
      </c>
      <c r="R260" s="631">
        <v>1881.152230341492</v>
      </c>
      <c r="S260" s="617">
        <v>2501.6120784936347</v>
      </c>
      <c r="T260" s="631">
        <v>1515.6993338566845</v>
      </c>
      <c r="U260" s="617">
        <v>107679.9935891621</v>
      </c>
      <c r="V260" s="631">
        <v>1673.9407807925979</v>
      </c>
      <c r="W260" s="617">
        <v>62137.655748319077</v>
      </c>
      <c r="X260" s="631">
        <v>4828.4726943397982</v>
      </c>
      <c r="Y260" s="617">
        <v>49185.070695438699</v>
      </c>
      <c r="Z260" s="631">
        <v>1881.152230341492</v>
      </c>
      <c r="AA260" s="617">
        <v>2501.6120784936347</v>
      </c>
      <c r="AB260" s="631">
        <v>16094.339661994703</v>
      </c>
      <c r="AC260" s="617">
        <v>13923.881336940529</v>
      </c>
      <c r="AD260" s="631">
        <v>6725.6350345968667</v>
      </c>
      <c r="AE260" s="617">
        <v>13840.179268363292</v>
      </c>
      <c r="AF260" s="631">
        <v>8237.4734189988558</v>
      </c>
      <c r="AG260" s="617">
        <v>13305.759521144482</v>
      </c>
      <c r="AH260" s="631">
        <v>17897.083828053106</v>
      </c>
      <c r="AI260" s="617">
        <v>13245.996003214485</v>
      </c>
      <c r="AJ260" s="631">
        <v>8100.8941868212933</v>
      </c>
      <c r="AK260" s="617">
        <v>12130.411044089142</v>
      </c>
      <c r="AL260" s="631">
        <v>44033.884223328925</v>
      </c>
      <c r="AM260" s="617">
        <v>10113.638820051781</v>
      </c>
      <c r="AN260" s="631">
        <v>1677.060520685355</v>
      </c>
      <c r="AO260" s="617">
        <v>10113.638820051781</v>
      </c>
      <c r="AP260" s="631">
        <v>9529.7775610675144</v>
      </c>
      <c r="AQ260" s="617">
        <v>12958.173342398393</v>
      </c>
      <c r="AR260" s="631">
        <v>16094.339661994703</v>
      </c>
      <c r="AS260" s="617">
        <v>13923.881336940529</v>
      </c>
      <c r="AT260" s="631">
        <v>31989.684792283399</v>
      </c>
      <c r="AU260" s="617">
        <v>29269.982520368416</v>
      </c>
      <c r="AV260" s="631">
        <v>9594.5068874490826</v>
      </c>
      <c r="AW260" s="617">
        <v>4960.3077416889528</v>
      </c>
      <c r="AX260" s="631">
        <v>54358.993136217337</v>
      </c>
      <c r="AY260" s="617">
        <v>8996.6394911957304</v>
      </c>
      <c r="AZ260" s="631">
        <v>31989.684792283399</v>
      </c>
      <c r="BA260" s="617">
        <v>29269.982520368416</v>
      </c>
      <c r="BB260" s="631">
        <v>13573.640283954803</v>
      </c>
      <c r="BC260" s="617">
        <v>8434.6206673176403</v>
      </c>
      <c r="BD260" s="631">
        <v>7153.7410114038385</v>
      </c>
      <c r="BE260" s="617">
        <v>40190.337095583585</v>
      </c>
      <c r="BF260" s="631">
        <v>12376.401015926043</v>
      </c>
      <c r="BG260" s="617">
        <v>10497.342255445838</v>
      </c>
      <c r="BH260" s="631">
        <v>10727.127249764229</v>
      </c>
      <c r="BI260" s="617">
        <v>4789.0103096634984</v>
      </c>
      <c r="BJ260" s="631">
        <v>17481.042353050187</v>
      </c>
      <c r="BK260" s="617">
        <v>9578.9928523482122</v>
      </c>
      <c r="BL260" s="631">
        <v>18879.165964437438</v>
      </c>
      <c r="BM260" s="617">
        <v>8953.2989833999163</v>
      </c>
      <c r="BN260" s="631">
        <v>12363.506077310178</v>
      </c>
      <c r="BO260" s="617">
        <v>4859.426813390347</v>
      </c>
      <c r="BP260" s="631">
        <v>7932.3756424945905</v>
      </c>
      <c r="BQ260" s="617">
        <v>19753.574899083917</v>
      </c>
      <c r="BR260" s="631">
        <v>4772.4563985788454</v>
      </c>
      <c r="BS260" s="617">
        <v>16265.098076176842</v>
      </c>
      <c r="BT260" s="631">
        <v>23617.111483840054</v>
      </c>
      <c r="BU260" s="617">
        <v>32606.355373310733</v>
      </c>
      <c r="BV260" s="631">
        <v>2908.6146420925352</v>
      </c>
      <c r="BW260" s="617">
        <v>23966.189691408086</v>
      </c>
      <c r="BX260" s="631">
        <v>-9800.9953893978472</v>
      </c>
      <c r="BY260" s="617">
        <v>24657.647436836316</v>
      </c>
      <c r="BZ260" s="631">
        <v>17561.846207042221</v>
      </c>
      <c r="CA260" s="617">
        <v>806.59448719000852</v>
      </c>
      <c r="CB260" s="631">
        <v>13573.640283954803</v>
      </c>
      <c r="CC260" s="617">
        <v>8434.6206673176403</v>
      </c>
      <c r="CD260" s="631">
        <v>16094.339661994703</v>
      </c>
      <c r="CE260" s="251">
        <v>13923.881336940529</v>
      </c>
      <c r="CF260" s="658">
        <v>2262.3858905806169</v>
      </c>
      <c r="CG260" s="632">
        <v>2882.8630601699142</v>
      </c>
      <c r="CH260" s="658">
        <v>11817.206265190391</v>
      </c>
      <c r="CI260" s="632">
        <v>3770.3101606619548</v>
      </c>
      <c r="CJ260" s="658">
        <v>7565.3917888276401</v>
      </c>
      <c r="CK260" s="632">
        <v>3309.1770229188496</v>
      </c>
      <c r="CL260" s="658">
        <v>-4572.5794152579629</v>
      </c>
      <c r="CM260" s="632">
        <v>2658.8386099050686</v>
      </c>
      <c r="CN260" s="658">
        <v>3508.2422256893356</v>
      </c>
      <c r="CO260" s="632">
        <v>4128.7760010416159</v>
      </c>
      <c r="CP260" s="658">
        <v>1881.152230341492</v>
      </c>
      <c r="CQ260" s="632">
        <v>2501.6120784936347</v>
      </c>
      <c r="CR260" s="658">
        <v>31989.684792283399</v>
      </c>
      <c r="CS260" s="617">
        <v>29269.982520368416</v>
      </c>
      <c r="CT260" s="658">
        <v>6473.1831410822761</v>
      </c>
      <c r="CU260" s="617">
        <v>4960.3077416889528</v>
      </c>
      <c r="CV260" s="658">
        <v>9324.2474142593237</v>
      </c>
      <c r="CW260" s="617">
        <v>4960.3077416889528</v>
      </c>
      <c r="CX260" s="658">
        <v>4181.8102725743884</v>
      </c>
      <c r="CY260" s="617">
        <v>4960.3077416889528</v>
      </c>
      <c r="CZ260" s="658">
        <v>-6541.1357209603757</v>
      </c>
      <c r="DA260" s="617">
        <v>4960.3077416889528</v>
      </c>
      <c r="DB260" s="658">
        <v>9594.5068874490826</v>
      </c>
      <c r="DC260" s="617">
        <v>4960.3077416889528</v>
      </c>
      <c r="DD260" s="658">
        <v>6044.1763114570631</v>
      </c>
      <c r="DE260" s="617">
        <v>4960.3077416889528</v>
      </c>
      <c r="DF260" s="658">
        <v>54358.993136217337</v>
      </c>
      <c r="DG260" s="617">
        <v>8996.6394911957304</v>
      </c>
      <c r="DH260" s="658">
        <v>51813.252754129528</v>
      </c>
      <c r="DI260" s="617">
        <v>8996.6394911957304</v>
      </c>
      <c r="DJ260" s="658">
        <v>51509.381438628778</v>
      </c>
      <c r="DK260" s="617">
        <v>8996.6394911957304</v>
      </c>
      <c r="DL260" s="658">
        <v>79868.756322539004</v>
      </c>
      <c r="DM260" s="617">
        <v>8996.6394911957304</v>
      </c>
      <c r="DN260" s="658">
        <v>5646.0523417736931</v>
      </c>
      <c r="DO260" s="617">
        <v>8996.6394911957304</v>
      </c>
      <c r="DP260" s="658">
        <v>8460.343230214432</v>
      </c>
      <c r="DQ260" s="617">
        <v>8996.6394911957304</v>
      </c>
      <c r="DR260" s="658">
        <v>4945.1745673226078</v>
      </c>
      <c r="DS260" s="617">
        <v>8996.6394911957304</v>
      </c>
      <c r="DT260" s="658">
        <v>-5761.9961320879365</v>
      </c>
      <c r="DU260" s="617">
        <v>8996.6394911957304</v>
      </c>
      <c r="DV260" s="658">
        <v>10327.687351724435</v>
      </c>
      <c r="DW260" s="617">
        <v>8996.6394911957304</v>
      </c>
      <c r="DX260" s="658">
        <v>6816.5382337064866</v>
      </c>
      <c r="DY260" s="617">
        <v>8996.6394911957304</v>
      </c>
      <c r="DZ260" s="658">
        <v>38118.438754188464</v>
      </c>
      <c r="EA260" s="617">
        <v>8996.6394911957304</v>
      </c>
      <c r="EB260" s="658">
        <v>9157.8087837062667</v>
      </c>
      <c r="EC260" s="617">
        <v>8434.6206673176403</v>
      </c>
      <c r="ED260" s="658">
        <v>13191.295999309214</v>
      </c>
      <c r="EE260" s="617">
        <v>8434.6206673176403</v>
      </c>
      <c r="EF260" s="658">
        <v>10212.541933749735</v>
      </c>
      <c r="EG260" s="617">
        <v>15436.846928491466</v>
      </c>
      <c r="EH260" s="658">
        <v>8222.0919109246588</v>
      </c>
      <c r="EI260" s="617">
        <v>-15725.816425041363</v>
      </c>
      <c r="EJ260" s="658">
        <v>13573.640283954803</v>
      </c>
      <c r="EK260" s="617">
        <v>7330.2947073346477</v>
      </c>
      <c r="EL260" s="658">
        <v>8550.8797926697334</v>
      </c>
      <c r="EM260" s="617">
        <v>8434.6206673176403</v>
      </c>
      <c r="EN260" s="658">
        <v>2950.53269668536</v>
      </c>
      <c r="EO260" s="632">
        <v>3571.0411323796698</v>
      </c>
      <c r="EP260" s="658">
        <v>8797.2384875682292</v>
      </c>
      <c r="EQ260" s="632">
        <v>21741.2573962592</v>
      </c>
      <c r="ER260" s="631">
        <v>0</v>
      </c>
      <c r="ES260" s="617">
        <v>16944.448094921718</v>
      </c>
      <c r="ET260" s="631">
        <v>0</v>
      </c>
      <c r="EU260" s="617">
        <v>13875.367674316332</v>
      </c>
      <c r="EV260" s="631">
        <v>0</v>
      </c>
      <c r="EW260" s="617">
        <v>16414.691970618453</v>
      </c>
      <c r="EX260" s="658">
        <v>15318.733087474126</v>
      </c>
      <c r="EY260" s="617">
        <v>-20726.854024356118</v>
      </c>
    </row>
    <row r="261" spans="1:155" x14ac:dyDescent="0.25">
      <c r="A261" s="702" t="s">
        <v>897</v>
      </c>
      <c r="B261" s="640">
        <v>7893.5985454856827</v>
      </c>
      <c r="C261" s="641">
        <v>3785.0698441177528</v>
      </c>
      <c r="D261" s="640">
        <v>7893.5985454856827</v>
      </c>
      <c r="E261" s="641">
        <v>5075.8898905145597</v>
      </c>
      <c r="F261" s="640">
        <v>2764.5696993332867</v>
      </c>
      <c r="G261" s="641">
        <v>21591.770683834176</v>
      </c>
      <c r="H261" s="640">
        <v>2764.5696993332867</v>
      </c>
      <c r="I261" s="641">
        <v>22882.590730230986</v>
      </c>
      <c r="J261" s="640">
        <v>7893.5985454856827</v>
      </c>
      <c r="K261" s="641">
        <v>3785.0698441177528</v>
      </c>
      <c r="L261" s="640">
        <v>9239.9406928763474</v>
      </c>
      <c r="M261" s="641">
        <v>22521.763728154139</v>
      </c>
      <c r="N261" s="640">
        <v>8920.6197625521745</v>
      </c>
      <c r="O261" s="641">
        <v>-71344.716956240998</v>
      </c>
      <c r="P261" s="640">
        <v>19387.731045158052</v>
      </c>
      <c r="Q261" s="641">
        <v>-3794.3011730655571</v>
      </c>
      <c r="R261" s="640">
        <v>1955.3763819659216</v>
      </c>
      <c r="S261" s="641">
        <v>2647.5791196270238</v>
      </c>
      <c r="T261" s="640">
        <v>5923.9511289891816</v>
      </c>
      <c r="U261" s="641">
        <v>112122.23646719448</v>
      </c>
      <c r="V261" s="640">
        <v>4205.5545414048911</v>
      </c>
      <c r="W261" s="641">
        <v>64703.1753263598</v>
      </c>
      <c r="X261" s="640">
        <v>8924.038923261247</v>
      </c>
      <c r="Y261" s="641">
        <v>53264.91409001725</v>
      </c>
      <c r="Z261" s="640">
        <v>1955.3763819659216</v>
      </c>
      <c r="AA261" s="641">
        <v>2647.5791196270238</v>
      </c>
      <c r="AB261" s="640">
        <v>22567.569563375328</v>
      </c>
      <c r="AC261" s="641">
        <v>15163.094923077962</v>
      </c>
      <c r="AD261" s="640">
        <v>18910.604042748422</v>
      </c>
      <c r="AE261" s="641">
        <v>18252.013492178707</v>
      </c>
      <c r="AF261" s="640">
        <v>19808.795885669966</v>
      </c>
      <c r="AG261" s="641">
        <v>14540.677883202374</v>
      </c>
      <c r="AH261" s="640">
        <v>44500.578405824723</v>
      </c>
      <c r="AI261" s="641">
        <v>15938.13806398262</v>
      </c>
      <c r="AJ261" s="640">
        <v>27971.071857810963</v>
      </c>
      <c r="AK261" s="641">
        <v>13231.124565607017</v>
      </c>
      <c r="AL261" s="640">
        <v>66834.85847171658</v>
      </c>
      <c r="AM261" s="641">
        <v>11077.979250698841</v>
      </c>
      <c r="AN261" s="640">
        <v>1781.3981659743954</v>
      </c>
      <c r="AO261" s="641">
        <v>11077.979250698841</v>
      </c>
      <c r="AP261" s="640">
        <v>18314.111305366827</v>
      </c>
      <c r="AQ261" s="641">
        <v>14166.664167014023</v>
      </c>
      <c r="AR261" s="640">
        <v>22567.569563375328</v>
      </c>
      <c r="AS261" s="641">
        <v>15163.094923077962</v>
      </c>
      <c r="AT261" s="640">
        <v>50978.386442153693</v>
      </c>
      <c r="AU261" s="641">
        <v>24333.961471416966</v>
      </c>
      <c r="AV261" s="640">
        <v>6438.9928871188022</v>
      </c>
      <c r="AW261" s="641">
        <v>8580.8880614593163</v>
      </c>
      <c r="AX261" s="640">
        <v>69380.432171357228</v>
      </c>
      <c r="AY261" s="641">
        <v>9751.4880425764222</v>
      </c>
      <c r="AZ261" s="640">
        <v>50978.386442153693</v>
      </c>
      <c r="BA261" s="641">
        <v>24333.961471416966</v>
      </c>
      <c r="BB261" s="640">
        <v>9109.4387930479279</v>
      </c>
      <c r="BC261" s="641">
        <v>12404.10384529041</v>
      </c>
      <c r="BD261" s="640">
        <v>4800.964554934646</v>
      </c>
      <c r="BE261" s="641">
        <v>44721.511975345478</v>
      </c>
      <c r="BF261" s="640">
        <v>8305.9566316977762</v>
      </c>
      <c r="BG261" s="641">
        <v>12057.039058301192</v>
      </c>
      <c r="BH261" s="640">
        <v>7199.108497259569</v>
      </c>
      <c r="BI261" s="641">
        <v>5630.0813734009589</v>
      </c>
      <c r="BJ261" s="640">
        <v>35056.51205288629</v>
      </c>
      <c r="BK261" s="641">
        <v>10440.413930426608</v>
      </c>
      <c r="BL261" s="640">
        <v>27093.981548180876</v>
      </c>
      <c r="BM261" s="641">
        <v>9814.3033326289606</v>
      </c>
      <c r="BN261" s="640">
        <v>24793.796105615605</v>
      </c>
      <c r="BO261" s="641">
        <v>5330.3014115176593</v>
      </c>
      <c r="BP261" s="640">
        <v>5323.5159387703507</v>
      </c>
      <c r="BQ261" s="641">
        <v>23911.827283187042</v>
      </c>
      <c r="BR261" s="640">
        <v>4960.7620134225681</v>
      </c>
      <c r="BS261" s="641">
        <v>19965.748953595794</v>
      </c>
      <c r="BT261" s="640">
        <v>34633.583845804504</v>
      </c>
      <c r="BU261" s="641">
        <v>35711.095803317789</v>
      </c>
      <c r="BV261" s="640">
        <v>10363.305823549101</v>
      </c>
      <c r="BW261" s="641">
        <v>27143.107325634777</v>
      </c>
      <c r="BX261" s="640">
        <v>-2860.2596426921309</v>
      </c>
      <c r="BY261" s="641">
        <v>27851.712699705964</v>
      </c>
      <c r="BZ261" s="640">
        <v>35218.556239049896</v>
      </c>
      <c r="CA261" s="641">
        <v>858.46668802303827</v>
      </c>
      <c r="CB261" s="640">
        <v>9109.4387930479279</v>
      </c>
      <c r="CC261" s="641">
        <v>12404.10384529041</v>
      </c>
      <c r="CD261" s="640">
        <v>22567.569563375328</v>
      </c>
      <c r="CE261" s="642">
        <v>15163.094923077962</v>
      </c>
      <c r="CF261" s="704">
        <v>2981.2293330159196</v>
      </c>
      <c r="CG261" s="641">
        <v>3673.4786805367353</v>
      </c>
      <c r="CH261" s="704">
        <v>12750.086101149622</v>
      </c>
      <c r="CI261" s="641">
        <v>4774.9718993444158</v>
      </c>
      <c r="CJ261" s="704">
        <v>10240.496056703367</v>
      </c>
      <c r="CK261" s="641">
        <v>6056.1423518769807</v>
      </c>
      <c r="CL261" s="704">
        <v>-2116.7180768232643</v>
      </c>
      <c r="CM261" s="641">
        <v>5186.5510480703297</v>
      </c>
      <c r="CN261" s="704">
        <v>2354.4249853062965</v>
      </c>
      <c r="CO261" s="641">
        <v>3046.6458538305023</v>
      </c>
      <c r="CP261" s="704">
        <v>1955.3763819659216</v>
      </c>
      <c r="CQ261" s="641">
        <v>2647.5791196270238</v>
      </c>
      <c r="CR261" s="704">
        <v>50978.386442153693</v>
      </c>
      <c r="CS261" s="705">
        <v>24333.961471416966</v>
      </c>
      <c r="CT261" s="704">
        <v>8529.9521794780885</v>
      </c>
      <c r="CU261" s="705">
        <v>8580.8880614593163</v>
      </c>
      <c r="CV261" s="704">
        <v>12085.826764175254</v>
      </c>
      <c r="CW261" s="705">
        <v>8580.8880614593163</v>
      </c>
      <c r="CX261" s="704">
        <v>11364.079743232171</v>
      </c>
      <c r="CY261" s="705">
        <v>8580.8880614593163</v>
      </c>
      <c r="CZ261" s="704">
        <v>460.97750232242288</v>
      </c>
      <c r="DA261" s="705">
        <v>8580.8880614593163</v>
      </c>
      <c r="DB261" s="704">
        <v>6438.9928871188022</v>
      </c>
      <c r="DC261" s="705">
        <v>8580.8880614593163</v>
      </c>
      <c r="DD261" s="704">
        <v>6282.659859864485</v>
      </c>
      <c r="DE261" s="705">
        <v>8580.8880614593163</v>
      </c>
      <c r="DF261" s="704">
        <v>69380.432171357228</v>
      </c>
      <c r="DG261" s="705">
        <v>9751.4880425764222</v>
      </c>
      <c r="DH261" s="704">
        <v>66723.265984634316</v>
      </c>
      <c r="DI261" s="705">
        <v>9751.4880425764222</v>
      </c>
      <c r="DJ261" s="704">
        <v>66525.425647558499</v>
      </c>
      <c r="DK261" s="705">
        <v>9751.4880425764222</v>
      </c>
      <c r="DL261" s="704">
        <v>94986.462733861626</v>
      </c>
      <c r="DM261" s="705">
        <v>9751.4880425764222</v>
      </c>
      <c r="DN261" s="704">
        <v>11517.321916406585</v>
      </c>
      <c r="DO261" s="705">
        <v>9751.4880425764222</v>
      </c>
      <c r="DP261" s="704">
        <v>15113.954952786276</v>
      </c>
      <c r="DQ261" s="705">
        <v>9751.4880425764222</v>
      </c>
      <c r="DR261" s="704">
        <v>16383.679347541987</v>
      </c>
      <c r="DS261" s="705">
        <v>9751.4880425764222</v>
      </c>
      <c r="DT261" s="704">
        <v>5627.4528035553149</v>
      </c>
      <c r="DU261" s="705">
        <v>9751.4880425764222</v>
      </c>
      <c r="DV261" s="704">
        <v>11596.144412610889</v>
      </c>
      <c r="DW261" s="705">
        <v>9751.4880425764222</v>
      </c>
      <c r="DX261" s="704">
        <v>11807.070219483809</v>
      </c>
      <c r="DY261" s="705">
        <v>9751.4880425764222</v>
      </c>
      <c r="DZ261" s="704">
        <v>-14988.251601328579</v>
      </c>
      <c r="EA261" s="705">
        <v>9751.4880425764222</v>
      </c>
      <c r="EB261" s="704">
        <v>12067.582407495178</v>
      </c>
      <c r="EC261" s="705">
        <v>12404.10384529041</v>
      </c>
      <c r="ED261" s="704">
        <v>17098.186176269912</v>
      </c>
      <c r="EE261" s="705">
        <v>12404.10384529041</v>
      </c>
      <c r="EF261" s="704">
        <v>20373.516683235692</v>
      </c>
      <c r="EG261" s="705">
        <v>19406.330106464236</v>
      </c>
      <c r="EH261" s="704">
        <v>18128.194145808109</v>
      </c>
      <c r="EI261" s="705">
        <v>-11756.333247068593</v>
      </c>
      <c r="EJ261" s="704">
        <v>9109.4387930479279</v>
      </c>
      <c r="EK261" s="705">
        <v>11299.777885307416</v>
      </c>
      <c r="EL261" s="704">
        <v>8888.269711474004</v>
      </c>
      <c r="EM261" s="705">
        <v>12404.10384529041</v>
      </c>
      <c r="EN261" s="704">
        <v>4253.852537581829</v>
      </c>
      <c r="EO261" s="641">
        <v>4946.1597070243661</v>
      </c>
      <c r="EP261" s="704">
        <v>9148.0491607273052</v>
      </c>
      <c r="EQ261" s="641">
        <v>21854.669602535498</v>
      </c>
      <c r="ER261" s="640">
        <v>0</v>
      </c>
      <c r="ES261" s="641">
        <v>18514.611773687</v>
      </c>
      <c r="ET261" s="640">
        <v>0</v>
      </c>
      <c r="EU261" s="641">
        <v>15020.609868704951</v>
      </c>
      <c r="EV261" s="640">
        <v>0</v>
      </c>
      <c r="EW261" s="641">
        <v>17880.952838959438</v>
      </c>
      <c r="EX261" s="704">
        <v>30720.213375736283</v>
      </c>
      <c r="EY261" s="705">
        <v>-22085.068808792184</v>
      </c>
    </row>
    <row r="263" spans="1:155" ht="15.75" x14ac:dyDescent="0.25">
      <c r="A263" s="625" t="s">
        <v>2376</v>
      </c>
    </row>
    <row r="264" spans="1:155" s="28" customFormat="1" ht="75" x14ac:dyDescent="0.25">
      <c r="A264" s="204"/>
      <c r="B264" s="714" t="s">
        <v>2529</v>
      </c>
      <c r="C264" s="706" t="s">
        <v>2566</v>
      </c>
      <c r="D264" s="706" t="s">
        <v>2222</v>
      </c>
      <c r="E264" s="706" t="s">
        <v>2553</v>
      </c>
      <c r="F264" s="706" t="s">
        <v>2567</v>
      </c>
      <c r="G264" s="706" t="s">
        <v>2223</v>
      </c>
      <c r="H264" s="706" t="s">
        <v>2554</v>
      </c>
      <c r="I264" s="706" t="s">
        <v>2568</v>
      </c>
      <c r="J264" s="706" t="s">
        <v>2569</v>
      </c>
      <c r="K264" s="706" t="s">
        <v>2570</v>
      </c>
      <c r="L264" s="706" t="s">
        <v>2571</v>
      </c>
      <c r="M264" s="706" t="s">
        <v>223</v>
      </c>
      <c r="N264" s="706" t="s">
        <v>2572</v>
      </c>
      <c r="O264" s="706" t="s">
        <v>2573</v>
      </c>
      <c r="P264" s="706" t="s">
        <v>2574</v>
      </c>
      <c r="Q264" s="706" t="s">
        <v>2575</v>
      </c>
      <c r="R264" s="706" t="s">
        <v>2576</v>
      </c>
      <c r="S264" s="706" t="s">
        <v>2577</v>
      </c>
      <c r="T264" s="706" t="s">
        <v>2578</v>
      </c>
      <c r="U264" s="706" t="s">
        <v>239</v>
      </c>
      <c r="V264" s="706" t="s">
        <v>2530</v>
      </c>
      <c r="W264" s="706" t="s">
        <v>2531</v>
      </c>
      <c r="X264" s="706" t="s">
        <v>2532</v>
      </c>
      <c r="Y264" s="706" t="s">
        <v>2533</v>
      </c>
      <c r="Z264" s="706" t="s">
        <v>2534</v>
      </c>
      <c r="AA264" s="706" t="s">
        <v>2535</v>
      </c>
      <c r="AB264" s="706" t="s">
        <v>2579</v>
      </c>
      <c r="AC264" s="706" t="s">
        <v>2580</v>
      </c>
      <c r="AD264" s="706" t="s">
        <v>2536</v>
      </c>
      <c r="AE264" s="706" t="s">
        <v>2537</v>
      </c>
      <c r="AF264" s="706" t="s">
        <v>2538</v>
      </c>
      <c r="AG264" s="706" t="s">
        <v>2539</v>
      </c>
      <c r="AH264" s="706" t="s">
        <v>2540</v>
      </c>
      <c r="AI264" s="706" t="s">
        <v>2541</v>
      </c>
      <c r="AJ264" s="706" t="s">
        <v>2542</v>
      </c>
      <c r="AK264" s="706" t="s">
        <v>2543</v>
      </c>
      <c r="AL264" s="706" t="s">
        <v>2544</v>
      </c>
      <c r="AM264" s="706" t="s">
        <v>2545</v>
      </c>
      <c r="AN264" s="707" t="s">
        <v>2546</v>
      </c>
    </row>
    <row r="265" spans="1:155" s="28" customFormat="1" x14ac:dyDescent="0.25">
      <c r="A265" s="715" t="s">
        <v>2375</v>
      </c>
      <c r="B265" s="40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6"/>
    </row>
    <row r="266" spans="1:155" x14ac:dyDescent="0.25">
      <c r="A266" s="708" t="s">
        <v>2348</v>
      </c>
      <c r="B266" s="717" t="s">
        <v>2548</v>
      </c>
      <c r="C266" s="692">
        <v>62492.160949955993</v>
      </c>
      <c r="D266" s="692">
        <v>62492.160949955993</v>
      </c>
      <c r="E266" s="692">
        <v>62492.160949955993</v>
      </c>
      <c r="F266" s="692">
        <v>62492.160949955993</v>
      </c>
      <c r="G266" s="692">
        <v>62492.160949955993</v>
      </c>
      <c r="H266" s="692">
        <v>62492.160949955993</v>
      </c>
      <c r="I266" s="692">
        <v>62492.160949955993</v>
      </c>
      <c r="J266" s="692">
        <v>62492.160949955993</v>
      </c>
      <c r="K266" s="692">
        <v>62492.160949955993</v>
      </c>
      <c r="L266" s="692">
        <v>80121.426606815687</v>
      </c>
      <c r="M266" s="692">
        <v>81267.599187548243</v>
      </c>
      <c r="N266" s="692">
        <v>22663.448184743684</v>
      </c>
      <c r="O266" s="692">
        <v>1199.2391596110117</v>
      </c>
      <c r="P266" s="692">
        <v>63925.942260127966</v>
      </c>
      <c r="Q266" s="692">
        <v>49502.918741794419</v>
      </c>
      <c r="R266" s="692">
        <v>43677.817838481547</v>
      </c>
      <c r="S266" s="692">
        <v>24410.723466735904</v>
      </c>
      <c r="T266" s="692">
        <v>541.31006287035973</v>
      </c>
      <c r="U266" s="692">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7">
        <v>381043.97176349343</v>
      </c>
    </row>
    <row r="267" spans="1:155" x14ac:dyDescent="0.25">
      <c r="A267" s="708" t="s">
        <v>2349</v>
      </c>
      <c r="B267" s="717" t="s">
        <v>2548</v>
      </c>
      <c r="C267" s="692">
        <v>58460.992041331956</v>
      </c>
      <c r="D267" s="692">
        <v>58460.992041331956</v>
      </c>
      <c r="E267" s="692">
        <v>58460.992041331956</v>
      </c>
      <c r="F267" s="692">
        <v>58460.992041331956</v>
      </c>
      <c r="G267" s="692">
        <v>58460.992041331956</v>
      </c>
      <c r="H267" s="692">
        <v>58460.992041331956</v>
      </c>
      <c r="I267" s="692">
        <v>58460.992041331956</v>
      </c>
      <c r="J267" s="692">
        <v>58460.992041331956</v>
      </c>
      <c r="K267" s="692">
        <v>58460.992041331956</v>
      </c>
      <c r="L267" s="692">
        <v>79718.66062027411</v>
      </c>
      <c r="M267" s="692">
        <v>80859.071454745106</v>
      </c>
      <c r="N267" s="692">
        <v>22132.300084255679</v>
      </c>
      <c r="O267" s="692">
        <v>1154.894176116429</v>
      </c>
      <c r="P267" s="692">
        <v>63604.665435037721</v>
      </c>
      <c r="Q267" s="692">
        <v>46600.399370758147</v>
      </c>
      <c r="R267" s="692">
        <v>43337.966968207875</v>
      </c>
      <c r="S267" s="692">
        <v>24288.271324817117</v>
      </c>
      <c r="T267" s="692">
        <v>538.59467523627359</v>
      </c>
      <c r="U267" s="692">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7">
        <v>356941.37976108282</v>
      </c>
    </row>
    <row r="268" spans="1:155" x14ac:dyDescent="0.25">
      <c r="A268" s="708" t="s">
        <v>2221</v>
      </c>
      <c r="B268" s="717" t="s">
        <v>2548</v>
      </c>
      <c r="C268" s="692">
        <v>5517.6039588763979</v>
      </c>
      <c r="D268" s="692">
        <v>5517.6039588763979</v>
      </c>
      <c r="E268" s="692">
        <v>5517.6039588763979</v>
      </c>
      <c r="F268" s="692">
        <v>5517.6039588763979</v>
      </c>
      <c r="G268" s="692">
        <v>5517.6039588763979</v>
      </c>
      <c r="H268" s="692">
        <v>5517.6039588763979</v>
      </c>
      <c r="I268" s="692">
        <v>5517.6039588763979</v>
      </c>
      <c r="J268" s="692">
        <v>5517.6039588763979</v>
      </c>
      <c r="K268" s="692">
        <v>5517.6039588763979</v>
      </c>
      <c r="L268" s="692">
        <v>577.19824368628679</v>
      </c>
      <c r="M268" s="692">
        <v>585.45532083253852</v>
      </c>
      <c r="N268" s="692">
        <v>1123.8071286270033</v>
      </c>
      <c r="O268" s="692">
        <v>61.186929375543983</v>
      </c>
      <c r="P268" s="692">
        <v>458.80545831037119</v>
      </c>
      <c r="Q268" s="692">
        <v>4154.4868786910101</v>
      </c>
      <c r="R268" s="692">
        <v>481.09976861136875</v>
      </c>
      <c r="S268" s="692">
        <v>169.93995002779729</v>
      </c>
      <c r="T268" s="692">
        <v>3.768434194876948</v>
      </c>
      <c r="U268" s="692">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7">
        <v>34532.609022541066</v>
      </c>
    </row>
    <row r="269" spans="1:155" x14ac:dyDescent="0.25">
      <c r="A269" s="708" t="s">
        <v>250</v>
      </c>
      <c r="B269" s="717" t="s">
        <v>2548</v>
      </c>
      <c r="C269" s="692">
        <v>42392.422005726832</v>
      </c>
      <c r="D269" s="692">
        <v>42392.422005726832</v>
      </c>
      <c r="E269" s="692">
        <v>42392.422005726832</v>
      </c>
      <c r="F269" s="692">
        <v>42392.422005726832</v>
      </c>
      <c r="G269" s="692">
        <v>42392.422005726832</v>
      </c>
      <c r="H269" s="692">
        <v>42392.422005726832</v>
      </c>
      <c r="I269" s="692">
        <v>42392.422005726832</v>
      </c>
      <c r="J269" s="692">
        <v>42392.422005726832</v>
      </c>
      <c r="K269" s="692">
        <v>42392.422005726832</v>
      </c>
      <c r="L269" s="692">
        <v>78704.111983631039</v>
      </c>
      <c r="M269" s="692">
        <v>79830.009249405266</v>
      </c>
      <c r="N269" s="692">
        <v>3029.0012005945796</v>
      </c>
      <c r="O269" s="692">
        <v>682.90940084429144</v>
      </c>
      <c r="P269" s="692">
        <v>56550.134803329638</v>
      </c>
      <c r="Q269" s="692">
        <v>19628.785656887983</v>
      </c>
      <c r="R269" s="692">
        <v>9294.671750456504</v>
      </c>
      <c r="S269" s="692">
        <v>2496.8421271853117</v>
      </c>
      <c r="T269" s="692">
        <v>55.367706356011766</v>
      </c>
      <c r="U269" s="692">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7">
        <v>241043.75648507327</v>
      </c>
    </row>
    <row r="270" spans="1:155" x14ac:dyDescent="0.25">
      <c r="A270" s="708" t="s">
        <v>2350</v>
      </c>
      <c r="B270" s="717" t="s">
        <v>2548</v>
      </c>
      <c r="C270" s="692">
        <v>10550.966076728739</v>
      </c>
      <c r="D270" s="692">
        <v>10550.966076728739</v>
      </c>
      <c r="E270" s="692">
        <v>10550.966076728739</v>
      </c>
      <c r="F270" s="692">
        <v>10550.966076728739</v>
      </c>
      <c r="G270" s="692">
        <v>10550.966076728739</v>
      </c>
      <c r="H270" s="692">
        <v>10550.966076728739</v>
      </c>
      <c r="I270" s="692">
        <v>10550.966076728739</v>
      </c>
      <c r="J270" s="692">
        <v>10550.966076728739</v>
      </c>
      <c r="K270" s="692">
        <v>10550.966076728739</v>
      </c>
      <c r="L270" s="692">
        <v>437.35039295679809</v>
      </c>
      <c r="M270" s="692">
        <v>443.60688450729998</v>
      </c>
      <c r="N270" s="692">
        <v>17979.491755034098</v>
      </c>
      <c r="O270" s="692">
        <v>410.7978458965934</v>
      </c>
      <c r="P270" s="692">
        <v>6595.7251733977155</v>
      </c>
      <c r="Q270" s="692">
        <v>22817.126835179155</v>
      </c>
      <c r="R270" s="692">
        <v>33562.195449140025</v>
      </c>
      <c r="S270" s="692">
        <v>21621.489247604008</v>
      </c>
      <c r="T270" s="692">
        <v>479.45853468538473</v>
      </c>
      <c r="U270" s="692">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7">
        <v>81365.014253468486</v>
      </c>
    </row>
    <row r="271" spans="1:155" x14ac:dyDescent="0.25">
      <c r="A271" s="708" t="s">
        <v>2351</v>
      </c>
      <c r="B271" s="717" t="s">
        <v>2549</v>
      </c>
      <c r="C271" s="712">
        <v>18.674180276270924</v>
      </c>
      <c r="D271" s="692">
        <v>18.674180276270924</v>
      </c>
      <c r="E271" s="692">
        <v>18.674180276270924</v>
      </c>
      <c r="F271" s="692">
        <v>18.674180276270924</v>
      </c>
      <c r="G271" s="692">
        <v>18.674180276270924</v>
      </c>
      <c r="H271" s="692">
        <v>18.674180276270924</v>
      </c>
      <c r="I271" s="692">
        <v>18.674180276270924</v>
      </c>
      <c r="J271" s="692">
        <v>18.674180276270924</v>
      </c>
      <c r="K271" s="692">
        <v>18.674180276270924</v>
      </c>
      <c r="L271" s="692">
        <v>3.2745451133107935</v>
      </c>
      <c r="M271" s="692">
        <v>3.3213889350223931</v>
      </c>
      <c r="N271" s="692">
        <v>2.4380087184731223</v>
      </c>
      <c r="O271" s="692">
        <v>0.18940943799704851</v>
      </c>
      <c r="P271" s="713">
        <v>2.4627169752667535</v>
      </c>
      <c r="Q271" s="692">
        <v>641.74552812841978</v>
      </c>
      <c r="R271" s="692">
        <v>1.5979529721978483</v>
      </c>
      <c r="S271" s="692">
        <v>0.48194469265186418</v>
      </c>
      <c r="T271" s="692">
        <v>1.0687168376427506E-2</v>
      </c>
      <c r="U271" s="692">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8" t="s">
        <v>254</v>
      </c>
      <c r="B272" s="717" t="s">
        <v>2550</v>
      </c>
      <c r="C272" s="692">
        <v>3.711066428017137</v>
      </c>
      <c r="D272" s="692">
        <v>3.711066428017137</v>
      </c>
      <c r="E272" s="692">
        <v>3.711066428017137</v>
      </c>
      <c r="F272" s="692">
        <v>3.711066428017137</v>
      </c>
      <c r="G272" s="692">
        <v>3.711066428017137</v>
      </c>
      <c r="H272" s="692">
        <v>3.711066428017137</v>
      </c>
      <c r="I272" s="692">
        <v>3.711066428017137</v>
      </c>
      <c r="J272" s="692">
        <v>3.711066428017137</v>
      </c>
      <c r="K272" s="692">
        <v>3.711066428017137</v>
      </c>
      <c r="L272" s="692">
        <v>7.4701922707037456</v>
      </c>
      <c r="M272" s="692">
        <v>7.577056687827751</v>
      </c>
      <c r="N272" s="692">
        <v>4.4903054939531337</v>
      </c>
      <c r="O272" s="692">
        <v>5.3655591542999356E-2</v>
      </c>
      <c r="P272" s="692">
        <v>5.4560082498593827</v>
      </c>
      <c r="Q272" s="692">
        <v>2.4395478407767066</v>
      </c>
      <c r="R272" s="692">
        <v>1.5951869841032507</v>
      </c>
      <c r="S272" s="692">
        <v>0.54161849960180641</v>
      </c>
      <c r="T272" s="692">
        <v>6.5438336767258418E-3</v>
      </c>
      <c r="U272" s="692">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8" t="s">
        <v>251</v>
      </c>
      <c r="B273" s="717" t="s">
        <v>2550</v>
      </c>
      <c r="C273" s="692">
        <v>7.5311988309748177</v>
      </c>
      <c r="D273" s="692">
        <v>7.5311988309748177</v>
      </c>
      <c r="E273" s="692">
        <v>7.5311988309748177</v>
      </c>
      <c r="F273" s="692">
        <v>7.5311988309748177</v>
      </c>
      <c r="G273" s="692">
        <v>7.5311988309748177</v>
      </c>
      <c r="H273" s="692">
        <v>7.5311988309748177</v>
      </c>
      <c r="I273" s="692">
        <v>7.5311988309748177</v>
      </c>
      <c r="J273" s="692">
        <v>7.5311988309748177</v>
      </c>
      <c r="K273" s="692">
        <v>7.5311988309748177</v>
      </c>
      <c r="L273" s="692">
        <v>16.418153978483449</v>
      </c>
      <c r="M273" s="692">
        <v>16.653022960643867</v>
      </c>
      <c r="N273" s="692">
        <v>2.8555145733269418</v>
      </c>
      <c r="O273" s="692">
        <v>0.10317601479756648</v>
      </c>
      <c r="P273" s="692">
        <v>12.876168031237338</v>
      </c>
      <c r="Q273" s="692">
        <v>10.389179830437318</v>
      </c>
      <c r="R273" s="692">
        <v>7.4679367738954188</v>
      </c>
      <c r="S273" s="692">
        <v>4.234107894445251</v>
      </c>
      <c r="T273" s="692">
        <v>9.2322303392830943E-2</v>
      </c>
      <c r="U273" s="692">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8" t="s">
        <v>2352</v>
      </c>
      <c r="B274" s="717" t="s">
        <v>2550</v>
      </c>
      <c r="C274" s="692">
        <v>11.484401438306682</v>
      </c>
      <c r="D274" s="692">
        <v>11.484401438306682</v>
      </c>
      <c r="E274" s="692">
        <v>11.484401438306682</v>
      </c>
      <c r="F274" s="692">
        <v>11.484401438306682</v>
      </c>
      <c r="G274" s="692">
        <v>11.484401438306682</v>
      </c>
      <c r="H274" s="692">
        <v>11.484401438306682</v>
      </c>
      <c r="I274" s="692">
        <v>11.484401438306682</v>
      </c>
      <c r="J274" s="692">
        <v>11.484401438306682</v>
      </c>
      <c r="K274" s="692">
        <v>11.484401438306682</v>
      </c>
      <c r="L274" s="692">
        <v>19.246911988752796</v>
      </c>
      <c r="M274" s="692">
        <v>19.522247610190735</v>
      </c>
      <c r="N274" s="692">
        <v>5.3723535296636085</v>
      </c>
      <c r="O274" s="692">
        <v>0.17573383340105259</v>
      </c>
      <c r="P274" s="692">
        <v>15.172615252120897</v>
      </c>
      <c r="Q274" s="692">
        <v>10.089458164985338</v>
      </c>
      <c r="R274" s="692">
        <v>10.970657817406385</v>
      </c>
      <c r="S274" s="692">
        <v>5.2317747356630075</v>
      </c>
      <c r="T274" s="692">
        <v>6.2870225659993534E-2</v>
      </c>
      <c r="U274" s="692">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8" t="s">
        <v>252</v>
      </c>
      <c r="B275" s="717" t="s">
        <v>2550</v>
      </c>
      <c r="C275" s="692">
        <v>0.56445730082489431</v>
      </c>
      <c r="D275" s="692">
        <v>0.56445730082489431</v>
      </c>
      <c r="E275" s="692">
        <v>0.56445730082489431</v>
      </c>
      <c r="F275" s="692">
        <v>0.56445730082489431</v>
      </c>
      <c r="G275" s="692">
        <v>0.56445730082489431</v>
      </c>
      <c r="H275" s="692">
        <v>0.56445730082489431</v>
      </c>
      <c r="I275" s="692">
        <v>0.56445730082489431</v>
      </c>
      <c r="J275" s="692">
        <v>0.56445730082489431</v>
      </c>
      <c r="K275" s="692">
        <v>0.56445730082489431</v>
      </c>
      <c r="L275" s="692">
        <v>0.35813385836023898</v>
      </c>
      <c r="M275" s="692">
        <v>0.3632571222119782</v>
      </c>
      <c r="N275" s="692">
        <v>5.0707762476421632</v>
      </c>
      <c r="O275" s="692">
        <v>1.2715318416083728E-2</v>
      </c>
      <c r="P275" s="692">
        <v>0.35387643698118143</v>
      </c>
      <c r="Q275" s="692">
        <v>0.94313438912311354</v>
      </c>
      <c r="R275" s="692">
        <v>0.75413315507672196</v>
      </c>
      <c r="S275" s="692">
        <v>0.34348879227183804</v>
      </c>
      <c r="T275" s="692">
        <v>3.5095018246179065E-3</v>
      </c>
      <c r="U275" s="692">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8" t="s">
        <v>253</v>
      </c>
      <c r="B276" s="717" t="s">
        <v>2550</v>
      </c>
      <c r="C276" s="692">
        <v>0.47547843410743384</v>
      </c>
      <c r="D276" s="692">
        <v>0.47547843410743384</v>
      </c>
      <c r="E276" s="692">
        <v>0.47547843410743384</v>
      </c>
      <c r="F276" s="692">
        <v>0.47547843410743384</v>
      </c>
      <c r="G276" s="692">
        <v>0.47547843410743384</v>
      </c>
      <c r="H276" s="692">
        <v>0.47547843410743384</v>
      </c>
      <c r="I276" s="692">
        <v>0.47547843410743384</v>
      </c>
      <c r="J276" s="692">
        <v>0.47547843410743384</v>
      </c>
      <c r="K276" s="692">
        <v>0.47547843410743384</v>
      </c>
      <c r="L276" s="692">
        <v>0.33951600287429912</v>
      </c>
      <c r="M276" s="692">
        <v>0.34437293003716801</v>
      </c>
      <c r="N276" s="692">
        <v>0.80242919118798051</v>
      </c>
      <c r="O276" s="692">
        <v>1.0827420961256131E-2</v>
      </c>
      <c r="P276" s="692">
        <v>0.31744664545043649</v>
      </c>
      <c r="Q276" s="692">
        <v>0.80038755204490464</v>
      </c>
      <c r="R276" s="692">
        <v>0.61006008571264958</v>
      </c>
      <c r="S276" s="692">
        <v>0.26359981576844166</v>
      </c>
      <c r="T276" s="692">
        <v>9.9928170987561866E-4</v>
      </c>
      <c r="U276" s="692">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8" t="s">
        <v>898</v>
      </c>
      <c r="B277" s="717" t="s">
        <v>2550</v>
      </c>
      <c r="C277" s="692">
        <v>2.6630453965502467</v>
      </c>
      <c r="D277" s="692">
        <v>2.6630453965502467</v>
      </c>
      <c r="E277" s="692">
        <v>2.6630453965502467</v>
      </c>
      <c r="F277" s="692">
        <v>2.6630453965502467</v>
      </c>
      <c r="G277" s="692">
        <v>2.6630453965502467</v>
      </c>
      <c r="H277" s="692">
        <v>2.6630453965502467</v>
      </c>
      <c r="I277" s="692">
        <v>2.6630453965502467</v>
      </c>
      <c r="J277" s="692">
        <v>2.6630453965502467</v>
      </c>
      <c r="K277" s="692">
        <v>2.6630453965502467</v>
      </c>
      <c r="L277" s="692">
        <v>10.854032881495455</v>
      </c>
      <c r="M277" s="692">
        <v>11.009304640948651</v>
      </c>
      <c r="N277" s="692">
        <v>3.9747059540080016</v>
      </c>
      <c r="O277" s="692">
        <v>5.5673064488552547E-2</v>
      </c>
      <c r="P277" s="692">
        <v>7.7303817339859533</v>
      </c>
      <c r="Q277" s="692">
        <v>3.910054726854884</v>
      </c>
      <c r="R277" s="692">
        <v>1.1924438835903202</v>
      </c>
      <c r="S277" s="692">
        <v>0.10901296934555887</v>
      </c>
      <c r="T277" s="692">
        <v>2.4328054814039147E-3</v>
      </c>
      <c r="U277" s="692">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8" t="s">
        <v>899</v>
      </c>
      <c r="B278" s="717" t="s">
        <v>2550</v>
      </c>
      <c r="C278" s="692">
        <v>8.5860882288344334E-2</v>
      </c>
      <c r="D278" s="692">
        <v>8.5860882288344334E-2</v>
      </c>
      <c r="E278" s="692">
        <v>8.5860882288344334E-2</v>
      </c>
      <c r="F278" s="692">
        <v>8.5860882288344334E-2</v>
      </c>
      <c r="G278" s="692">
        <v>8.5860882288344334E-2</v>
      </c>
      <c r="H278" s="692">
        <v>8.5860882288344334E-2</v>
      </c>
      <c r="I278" s="692">
        <v>8.5860882288344334E-2</v>
      </c>
      <c r="J278" s="692">
        <v>8.5860882288344334E-2</v>
      </c>
      <c r="K278" s="692">
        <v>8.5860882288344334E-2</v>
      </c>
      <c r="L278" s="692">
        <v>6.884831431831781E-2</v>
      </c>
      <c r="M278" s="692">
        <v>6.9833220022612927E-2</v>
      </c>
      <c r="N278" s="692">
        <v>9.6172205650416523E-2</v>
      </c>
      <c r="O278" s="692">
        <v>1.5867671819180219E-3</v>
      </c>
      <c r="P278" s="692">
        <v>0.10083551375596264</v>
      </c>
      <c r="Q278" s="692">
        <v>0.2870616132320819</v>
      </c>
      <c r="R278" s="692">
        <v>0.30668569162064852</v>
      </c>
      <c r="S278" s="692">
        <v>0.17888079831238965</v>
      </c>
      <c r="T278" s="692">
        <v>9.3419470548957622E-5</v>
      </c>
      <c r="U278" s="692">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8" t="s">
        <v>900</v>
      </c>
      <c r="B279" s="717" t="s">
        <v>2550</v>
      </c>
      <c r="C279" s="692">
        <v>0.17257257221628283</v>
      </c>
      <c r="D279" s="692">
        <v>0.17257257221628283</v>
      </c>
      <c r="E279" s="692">
        <v>0.17257257221628283</v>
      </c>
      <c r="F279" s="692">
        <v>0.17257257221628283</v>
      </c>
      <c r="G279" s="692">
        <v>0.17257257221628283</v>
      </c>
      <c r="H279" s="692">
        <v>0.17257257221628283</v>
      </c>
      <c r="I279" s="692">
        <v>0.17257257221628283</v>
      </c>
      <c r="J279" s="692">
        <v>0.17257257221628283</v>
      </c>
      <c r="K279" s="692">
        <v>0.17257257221628283</v>
      </c>
      <c r="L279" s="692">
        <v>0.14366061169734282</v>
      </c>
      <c r="M279" s="692">
        <v>0.14571574053156605</v>
      </c>
      <c r="N279" s="692">
        <v>6.892767992953977E-2</v>
      </c>
      <c r="O279" s="692">
        <v>3.1685482459509937E-3</v>
      </c>
      <c r="P279" s="692">
        <v>0.11782730038961145</v>
      </c>
      <c r="Q279" s="692">
        <v>0.18281181939193372</v>
      </c>
      <c r="R279" s="692">
        <v>0.13496533199819555</v>
      </c>
      <c r="S279" s="692">
        <v>5.4796832968512753E-2</v>
      </c>
      <c r="T279" s="692">
        <v>1.6673422655966584E-4</v>
      </c>
      <c r="U279" s="692">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8" t="s">
        <v>14</v>
      </c>
      <c r="B280" s="717" t="s">
        <v>2550</v>
      </c>
      <c r="C280" s="692">
        <v>91.174604481278848</v>
      </c>
      <c r="D280" s="692">
        <v>91.174604481278848</v>
      </c>
      <c r="E280" s="692">
        <v>91.174604481278848</v>
      </c>
      <c r="F280" s="692">
        <v>91.174604481278848</v>
      </c>
      <c r="G280" s="692">
        <v>91.174604481278848</v>
      </c>
      <c r="H280" s="692">
        <v>91.174604481278848</v>
      </c>
      <c r="I280" s="692">
        <v>91.174604481278848</v>
      </c>
      <c r="J280" s="692">
        <v>91.174604481278848</v>
      </c>
      <c r="K280" s="692">
        <v>91.174604481278848</v>
      </c>
      <c r="L280" s="692">
        <v>133.15440807495744</v>
      </c>
      <c r="M280" s="692">
        <v>135.0592410017118</v>
      </c>
      <c r="N280" s="692">
        <v>86.422672165665659</v>
      </c>
      <c r="O280" s="692">
        <v>0.88901662780494528</v>
      </c>
      <c r="P280" s="692">
        <v>95.111261660245262</v>
      </c>
      <c r="Q280" s="692">
        <v>6.1327935724833917</v>
      </c>
      <c r="R280" s="692">
        <v>4.5649264843221617</v>
      </c>
      <c r="S280" s="692">
        <v>2.2901257197291867</v>
      </c>
      <c r="T280" s="692">
        <v>5.0641156117757748E-2</v>
      </c>
      <c r="U280" s="692">
        <v>5.9136790455723505</v>
      </c>
      <c r="V280" s="692">
        <v>200.86863995372931</v>
      </c>
      <c r="W280" s="692">
        <v>138.1451124485057</v>
      </c>
      <c r="X280" s="692">
        <v>-8453.3544104540706</v>
      </c>
      <c r="Y280" s="692">
        <v>14.507418502014019</v>
      </c>
      <c r="Z280" s="692">
        <v>147.69314288793669</v>
      </c>
      <c r="AA280" s="692">
        <v>2.2905942416165659</v>
      </c>
      <c r="AB280" s="692">
        <v>0.30783403157129413</v>
      </c>
      <c r="AC280" s="692">
        <v>0.5060308244165006</v>
      </c>
      <c r="AD280" s="692">
        <v>256.60633523037461</v>
      </c>
      <c r="AE280" s="251">
        <v>-11505.323331842721</v>
      </c>
      <c r="AF280" s="692">
        <v>357.86428270609701</v>
      </c>
      <c r="AG280" s="692">
        <v>64.11574354400372</v>
      </c>
      <c r="AH280" s="692">
        <v>0</v>
      </c>
      <c r="AI280" s="692">
        <v>92.563050234800855</v>
      </c>
      <c r="AJ280" s="692">
        <v>1.1121551086330757</v>
      </c>
      <c r="AK280" s="692">
        <v>3.0570551427847197</v>
      </c>
      <c r="AL280" s="692">
        <v>75.616274668722326</v>
      </c>
      <c r="AM280" s="692">
        <v>128.56616671130186</v>
      </c>
      <c r="AN280" s="689">
        <v>115.85407481783531</v>
      </c>
    </row>
    <row r="281" spans="1:40" x14ac:dyDescent="0.25">
      <c r="A281" s="708" t="s">
        <v>10</v>
      </c>
      <c r="B281" s="717" t="s">
        <v>2550</v>
      </c>
      <c r="C281" s="692">
        <v>8.1263732797304075E-2</v>
      </c>
      <c r="D281" s="692">
        <v>8.1263732797304075E-2</v>
      </c>
      <c r="E281" s="692">
        <v>8.1263732797304075E-2</v>
      </c>
      <c r="F281" s="692">
        <v>8.1263732797304075E-2</v>
      </c>
      <c r="G281" s="692">
        <v>8.1263732797304075E-2</v>
      </c>
      <c r="H281" s="692">
        <v>8.1263732797304075E-2</v>
      </c>
      <c r="I281" s="692">
        <v>8.1263732797304075E-2</v>
      </c>
      <c r="J281" s="692">
        <v>8.1263732797304075E-2</v>
      </c>
      <c r="K281" s="692">
        <v>8.1263732797304075E-2</v>
      </c>
      <c r="L281" s="692">
        <v>0.13061799262425863</v>
      </c>
      <c r="M281" s="692">
        <v>0.13248654100184731</v>
      </c>
      <c r="N281" s="692">
        <v>2.8067163108017365E-2</v>
      </c>
      <c r="O281" s="692">
        <v>1.4495884384464325E-3</v>
      </c>
      <c r="P281" s="692">
        <v>9.9016132651025685E-2</v>
      </c>
      <c r="Q281" s="692">
        <v>23.65328548416737</v>
      </c>
      <c r="R281" s="692">
        <v>2.3566071475390458</v>
      </c>
      <c r="S281" s="692">
        <v>2.1911034440373369E-2</v>
      </c>
      <c r="T281" s="692">
        <v>1.645987403006741E-4</v>
      </c>
      <c r="U281" s="692">
        <v>22.808192885256293</v>
      </c>
      <c r="V281" s="692">
        <v>1.3502324734092519</v>
      </c>
      <c r="W281" s="692">
        <v>0.23253572651172691</v>
      </c>
      <c r="X281" s="692">
        <v>-48.140416814668178</v>
      </c>
      <c r="Y281" s="692">
        <v>0.13114278723134604</v>
      </c>
      <c r="Z281" s="692">
        <v>2.9650008865007859E-2</v>
      </c>
      <c r="AA281" s="692">
        <v>2.1915517076030441E-2</v>
      </c>
      <c r="AB281" s="692">
        <v>2.9218329421770634E-3</v>
      </c>
      <c r="AC281" s="692">
        <v>4.8030346904472136E-3</v>
      </c>
      <c r="AD281" s="692">
        <v>1.5596631292008143</v>
      </c>
      <c r="AE281" s="692">
        <v>-65.520861174053664</v>
      </c>
      <c r="AF281" s="692">
        <v>0.4559801247231059</v>
      </c>
      <c r="AG281" s="692">
        <v>8.680601759411422</v>
      </c>
      <c r="AH281" s="692">
        <v>0</v>
      </c>
      <c r="AI281" s="692">
        <v>8.2501251570867074E-2</v>
      </c>
      <c r="AJ281" s="692">
        <v>3.6148331502205248E-3</v>
      </c>
      <c r="AK281" s="692">
        <v>9.9363336879983982E-3</v>
      </c>
      <c r="AL281" s="692">
        <v>4.2321156845671819</v>
      </c>
      <c r="AM281" s="692">
        <v>7.1956320650194936</v>
      </c>
      <c r="AN281" s="689">
        <v>6.4841576671905266</v>
      </c>
    </row>
    <row r="282" spans="1:40" x14ac:dyDescent="0.25">
      <c r="A282" s="709" t="s">
        <v>8</v>
      </c>
      <c r="B282" s="718" t="s">
        <v>2550</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7">
        <v>-65636.8418464922</v>
      </c>
    </row>
    <row r="283" spans="1:40" x14ac:dyDescent="0.25">
      <c r="A283" s="710" t="s">
        <v>2353</v>
      </c>
      <c r="B283" s="719" t="s">
        <v>2550</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7">
        <v>-65348.853518706106</v>
      </c>
    </row>
    <row r="284" spans="1:40" x14ac:dyDescent="0.25">
      <c r="A284" s="710" t="s">
        <v>897</v>
      </c>
      <c r="B284" s="719" t="s">
        <v>2551</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7">
        <v>-60126.227045991604</v>
      </c>
    </row>
    <row r="285" spans="1:40" x14ac:dyDescent="0.25">
      <c r="A285" s="715" t="s">
        <v>2547</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8" t="s">
        <v>2348</v>
      </c>
      <c r="B286" s="717" t="s">
        <v>2548</v>
      </c>
      <c r="C286" s="692">
        <v>71200.210603186046</v>
      </c>
      <c r="D286" s="692">
        <v>91073.703916842176</v>
      </c>
      <c r="E286" s="692">
        <v>95874.603986995062</v>
      </c>
      <c r="F286" s="692">
        <v>71200.210603186046</v>
      </c>
      <c r="G286" s="692">
        <v>84199.109784513159</v>
      </c>
      <c r="H286" s="692">
        <v>89000.009854666045</v>
      </c>
      <c r="I286" s="692">
        <v>71200.21060318606</v>
      </c>
      <c r="J286" s="692">
        <v>76687.49728484865</v>
      </c>
      <c r="K286" s="692">
        <v>81488.397355001536</v>
      </c>
      <c r="L286" s="692">
        <v>570920.19487384765</v>
      </c>
      <c r="M286" s="692">
        <v>117336.11210925465</v>
      </c>
      <c r="N286" s="692">
        <v>1166285.3944807602</v>
      </c>
      <c r="O286" s="692">
        <v>191058.15889515338</v>
      </c>
      <c r="P286" s="692">
        <v>738690.76360885228</v>
      </c>
      <c r="Q286" s="692">
        <v>49613.176897541227</v>
      </c>
      <c r="R286" s="692">
        <v>87068.056804411215</v>
      </c>
      <c r="S286" s="692">
        <v>1014042.0414620218</v>
      </c>
      <c r="T286" s="692">
        <v>420169.59282717074</v>
      </c>
      <c r="U286" s="692">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2">
        <v>72284.477769732024</v>
      </c>
      <c r="AJ286" s="251">
        <v>-203329.7805640336</v>
      </c>
      <c r="AK286" s="251">
        <v>647243.9102984576</v>
      </c>
      <c r="AL286" s="251">
        <v>-13290.227583950527</v>
      </c>
      <c r="AM286" s="251">
        <v>-513165.16199637984</v>
      </c>
      <c r="AN286" s="617">
        <v>-427279.21244479285</v>
      </c>
    </row>
    <row r="287" spans="1:40" x14ac:dyDescent="0.25">
      <c r="A287" s="708" t="s">
        <v>2349</v>
      </c>
      <c r="B287" s="717" t="s">
        <v>2548</v>
      </c>
      <c r="C287" s="692">
        <v>70203.391928731347</v>
      </c>
      <c r="D287" s="692">
        <v>89992.577502033077</v>
      </c>
      <c r="E287" s="692">
        <v>94773.111095583503</v>
      </c>
      <c r="F287" s="692">
        <v>70203.391928731347</v>
      </c>
      <c r="G287" s="692">
        <v>83147.146913727396</v>
      </c>
      <c r="H287" s="692">
        <v>87927.680507277808</v>
      </c>
      <c r="I287" s="692">
        <v>70203.391928731347</v>
      </c>
      <c r="J287" s="692">
        <v>75667.400330450575</v>
      </c>
      <c r="K287" s="692">
        <v>80447.933924001001</v>
      </c>
      <c r="L287" s="692">
        <v>570382.76934804837</v>
      </c>
      <c r="M287" s="692">
        <v>116439.56083776147</v>
      </c>
      <c r="N287" s="692">
        <v>722326.09444688039</v>
      </c>
      <c r="O287" s="692">
        <v>186922.59723066131</v>
      </c>
      <c r="P287" s="692">
        <v>542768.14756190369</v>
      </c>
      <c r="Q287" s="692">
        <v>47013.379593784462</v>
      </c>
      <c r="R287" s="692">
        <v>70803.025000316324</v>
      </c>
      <c r="S287" s="692">
        <v>40998.166124206953</v>
      </c>
      <c r="T287" s="692">
        <v>208505.02954083521</v>
      </c>
      <c r="U287" s="692">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2">
        <v>71272.479115463299</v>
      </c>
      <c r="AJ287" s="251">
        <v>204353.92342901503</v>
      </c>
      <c r="AK287" s="251">
        <v>654585.77692286682</v>
      </c>
      <c r="AL287" s="251">
        <v>-3513.6147214831544</v>
      </c>
      <c r="AM287" s="251">
        <v>-387691.5986511865</v>
      </c>
      <c r="AN287" s="617">
        <v>-381047.4362544021</v>
      </c>
    </row>
    <row r="288" spans="1:40" x14ac:dyDescent="0.25">
      <c r="A288" s="708" t="s">
        <v>2221</v>
      </c>
      <c r="B288" s="717" t="s">
        <v>2548</v>
      </c>
      <c r="C288" s="692">
        <v>1419.8755856285675</v>
      </c>
      <c r="D288" s="692">
        <v>1540.7165104420694</v>
      </c>
      <c r="E288" s="692">
        <v>1569.9084192453311</v>
      </c>
      <c r="F288" s="692">
        <v>1419.8755856285675</v>
      </c>
      <c r="G288" s="692">
        <v>1498.9154893756183</v>
      </c>
      <c r="H288" s="692">
        <v>1528.10739817888</v>
      </c>
      <c r="I288" s="692">
        <v>1419.8755856285675</v>
      </c>
      <c r="J288" s="692">
        <v>1453.2410733595682</v>
      </c>
      <c r="K288" s="692">
        <v>1482.4329821628298</v>
      </c>
      <c r="L288" s="692">
        <v>844.85170703375525</v>
      </c>
      <c r="M288" s="692">
        <v>1283.575738295234</v>
      </c>
      <c r="N288" s="692">
        <v>614555.35872496746</v>
      </c>
      <c r="O288" s="692">
        <v>5876.6740517422086</v>
      </c>
      <c r="P288" s="692">
        <v>1408.7392371218004</v>
      </c>
      <c r="Q288" s="692">
        <v>14688.630557275852</v>
      </c>
      <c r="R288" s="692">
        <v>23327.131506652608</v>
      </c>
      <c r="S288" s="692">
        <v>2186.608996202965</v>
      </c>
      <c r="T288" s="692">
        <v>7789.8207686525966</v>
      </c>
      <c r="U288" s="692">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2">
        <v>1441.4980564757029</v>
      </c>
      <c r="AJ288" s="251">
        <v>13266.852534272435</v>
      </c>
      <c r="AK288" s="251">
        <v>51859.580449572946</v>
      </c>
      <c r="AL288" s="251">
        <v>-13941.74422283133</v>
      </c>
      <c r="AM288" s="251">
        <v>-178172.52320833268</v>
      </c>
      <c r="AN288" s="617">
        <v>-62234.355522015227</v>
      </c>
    </row>
    <row r="289" spans="1:40" x14ac:dyDescent="0.25">
      <c r="A289" s="708" t="s">
        <v>250</v>
      </c>
      <c r="B289" s="717" t="s">
        <v>2548</v>
      </c>
      <c r="C289" s="692">
        <v>34972.128930666739</v>
      </c>
      <c r="D289" s="692">
        <v>54629.12746259648</v>
      </c>
      <c r="E289" s="692">
        <v>59377.7282315458</v>
      </c>
      <c r="F289" s="692">
        <v>34972.128930666731</v>
      </c>
      <c r="G289" s="692">
        <v>47829.422718491573</v>
      </c>
      <c r="H289" s="692">
        <v>52578.023487440892</v>
      </c>
      <c r="I289" s="692">
        <v>34972.128930666724</v>
      </c>
      <c r="J289" s="692">
        <v>40399.639059024492</v>
      </c>
      <c r="K289" s="692">
        <v>45148.239827973819</v>
      </c>
      <c r="L289" s="692">
        <v>565711.24700050312</v>
      </c>
      <c r="M289" s="692">
        <v>109302.1461026841</v>
      </c>
      <c r="N289" s="692">
        <v>81220.927034162902</v>
      </c>
      <c r="O289" s="692">
        <v>167514.92166455736</v>
      </c>
      <c r="P289" s="692">
        <v>532797.42371447734</v>
      </c>
      <c r="Q289" s="692">
        <v>30761.256670945397</v>
      </c>
      <c r="R289" s="692">
        <v>35952.013600512335</v>
      </c>
      <c r="S289" s="692">
        <v>12817.325859879007</v>
      </c>
      <c r="T289" s="692">
        <v>195901.84350269014</v>
      </c>
      <c r="U289" s="692">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2">
        <v>35504.699421996687</v>
      </c>
      <c r="AJ289" s="251">
        <v>158561.97335469417</v>
      </c>
      <c r="AK289" s="251">
        <v>551211.49410707864</v>
      </c>
      <c r="AL289" s="251">
        <v>-15933.500703766438</v>
      </c>
      <c r="AM289" s="251">
        <v>-232081.13033675059</v>
      </c>
      <c r="AN289" s="617">
        <v>-224783.93798184363</v>
      </c>
    </row>
    <row r="290" spans="1:40" x14ac:dyDescent="0.25">
      <c r="A290" s="708" t="s">
        <v>2350</v>
      </c>
      <c r="B290" s="717" t="s">
        <v>2548</v>
      </c>
      <c r="C290" s="692">
        <v>33811.387412436052</v>
      </c>
      <c r="D290" s="692">
        <v>33822.733528994548</v>
      </c>
      <c r="E290" s="692">
        <v>33825.47444479238</v>
      </c>
      <c r="F290" s="692">
        <v>33811.387412436052</v>
      </c>
      <c r="G290" s="692">
        <v>33818.808705860196</v>
      </c>
      <c r="H290" s="692">
        <v>33821.549621658036</v>
      </c>
      <c r="I290" s="692">
        <v>33811.387412436052</v>
      </c>
      <c r="J290" s="692">
        <v>33814.520198066508</v>
      </c>
      <c r="K290" s="692">
        <v>33817.261113864348</v>
      </c>
      <c r="L290" s="692">
        <v>3826.6706405115456</v>
      </c>
      <c r="M290" s="692">
        <v>5853.8389967821386</v>
      </c>
      <c r="N290" s="692">
        <v>26549.808687750065</v>
      </c>
      <c r="O290" s="692">
        <v>13531.001514361709</v>
      </c>
      <c r="P290" s="692">
        <v>8561.9846103044019</v>
      </c>
      <c r="Q290" s="692">
        <v>1563.4923655632147</v>
      </c>
      <c r="R290" s="692">
        <v>11523.879893151376</v>
      </c>
      <c r="S290" s="692">
        <v>25994.231268124986</v>
      </c>
      <c r="T290" s="692">
        <v>4813.3652694924131</v>
      </c>
      <c r="U290" s="692">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2">
        <v>34326.281636990912</v>
      </c>
      <c r="AJ290" s="251">
        <v>32525.097540048413</v>
      </c>
      <c r="AK290" s="251">
        <v>51514.702366215344</v>
      </c>
      <c r="AL290" s="251">
        <v>26361.630205114612</v>
      </c>
      <c r="AM290" s="251">
        <v>22562.05488885384</v>
      </c>
      <c r="AN290" s="617">
        <v>-94037.836069314857</v>
      </c>
    </row>
    <row r="291" spans="1:40" x14ac:dyDescent="0.25">
      <c r="A291" s="708" t="s">
        <v>2351</v>
      </c>
      <c r="B291" s="717" t="s">
        <v>2549</v>
      </c>
      <c r="C291" s="692">
        <v>2.8061590804602514</v>
      </c>
      <c r="D291" s="692">
        <v>3.469665110478533</v>
      </c>
      <c r="E291" s="692">
        <v>3.6299502750335115</v>
      </c>
      <c r="F291" s="692">
        <v>2.8061590804602514</v>
      </c>
      <c r="G291" s="692">
        <v>3.2401465961067153</v>
      </c>
      <c r="H291" s="692">
        <v>3.4004317606616938</v>
      </c>
      <c r="I291" s="692">
        <v>2.8061590804602514</v>
      </c>
      <c r="J291" s="692">
        <v>2.9893602793768159</v>
      </c>
      <c r="K291" s="692">
        <v>3.149645443931794</v>
      </c>
      <c r="L291" s="692">
        <v>28.184159136362201</v>
      </c>
      <c r="M291" s="692">
        <v>0.75538534778969435</v>
      </c>
      <c r="N291" s="692">
        <v>63.607112767444882</v>
      </c>
      <c r="O291" s="692">
        <v>4.0282425469387348</v>
      </c>
      <c r="P291" s="692">
        <v>38.485403006837885</v>
      </c>
      <c r="Q291" s="692">
        <v>2.8934412669403544</v>
      </c>
      <c r="R291" s="692">
        <v>6.5476899123933361</v>
      </c>
      <c r="S291" s="692">
        <v>62.371153684151309</v>
      </c>
      <c r="T291" s="692">
        <v>5.5877387895108912</v>
      </c>
      <c r="U291" s="692">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2">
        <v>2.8488924674723362</v>
      </c>
      <c r="AJ291" s="251">
        <v>5.3602703871006536</v>
      </c>
      <c r="AK291" s="251">
        <v>49.923942824733068</v>
      </c>
      <c r="AL291" s="251">
        <v>-3.0176910336520999</v>
      </c>
      <c r="AM291" s="251">
        <v>-47.206382524462271</v>
      </c>
      <c r="AN291" s="617">
        <v>-41.256783292183663</v>
      </c>
    </row>
    <row r="292" spans="1:40" x14ac:dyDescent="0.25">
      <c r="A292" s="708" t="s">
        <v>254</v>
      </c>
      <c r="B292" s="717" t="s">
        <v>2550</v>
      </c>
      <c r="C292" s="692">
        <v>2.3567014833569293</v>
      </c>
      <c r="D292" s="692">
        <v>2.5735450056126119</v>
      </c>
      <c r="E292" s="692">
        <v>2.6259285531238161</v>
      </c>
      <c r="F292" s="692">
        <v>2.3567014833569293</v>
      </c>
      <c r="G292" s="692">
        <v>2.4985349818485396</v>
      </c>
      <c r="H292" s="692">
        <v>2.5509185293597438</v>
      </c>
      <c r="I292" s="692">
        <v>2.3567014833569293</v>
      </c>
      <c r="J292" s="692">
        <v>2.4165743276978273</v>
      </c>
      <c r="K292" s="692">
        <v>2.4689578752090315</v>
      </c>
      <c r="L292" s="692">
        <v>5.0777578310273288</v>
      </c>
      <c r="M292" s="692">
        <v>0.99479512128384817</v>
      </c>
      <c r="N292" s="692">
        <v>7.169441721969581</v>
      </c>
      <c r="O292" s="692">
        <v>3.189624973977546</v>
      </c>
      <c r="P292" s="692">
        <v>4.8760052853681133</v>
      </c>
      <c r="Q292" s="692">
        <v>16.158189210630965</v>
      </c>
      <c r="R292" s="692">
        <v>1.7727066943310299</v>
      </c>
      <c r="S292" s="692">
        <v>1.8658335506370138</v>
      </c>
      <c r="T292" s="692">
        <v>3.5053892478603954</v>
      </c>
      <c r="U292" s="692">
        <v>18.734542260861286</v>
      </c>
      <c r="V292" s="692">
        <v>19.491323902513795</v>
      </c>
      <c r="W292" s="692">
        <v>13.117433768382277</v>
      </c>
      <c r="X292" s="692">
        <v>17.125777609199254</v>
      </c>
      <c r="Y292" s="692">
        <v>13.405962634127615</v>
      </c>
      <c r="Z292" s="692">
        <v>18.650494016759033</v>
      </c>
      <c r="AA292" s="692">
        <v>17.338832092230014</v>
      </c>
      <c r="AB292" s="692">
        <v>13.558824619899129</v>
      </c>
      <c r="AC292" s="692">
        <v>2.2830777151114416</v>
      </c>
      <c r="AD292" s="692">
        <v>271.86948709955084</v>
      </c>
      <c r="AE292" s="692">
        <v>269.42488475210661</v>
      </c>
      <c r="AF292" s="692">
        <v>0.62193347480137851</v>
      </c>
      <c r="AG292" s="692">
        <v>0.62193347480137851</v>
      </c>
      <c r="AH292" s="692">
        <v>-0.77772169656677703</v>
      </c>
      <c r="AI292" s="692">
        <v>2.3925903384334308</v>
      </c>
      <c r="AJ292" s="692">
        <v>-0.66549239493361934</v>
      </c>
      <c r="AK292" s="692">
        <v>32.497088757741608</v>
      </c>
      <c r="AL292" s="692">
        <v>1.6412300475753523</v>
      </c>
      <c r="AM292" s="692">
        <v>-1.6870312568096637</v>
      </c>
      <c r="AN292" s="689">
        <v>-1.1554576991427572</v>
      </c>
    </row>
    <row r="293" spans="1:40" x14ac:dyDescent="0.25">
      <c r="A293" s="708" t="s">
        <v>251</v>
      </c>
      <c r="B293" s="717" t="s">
        <v>2550</v>
      </c>
      <c r="C293" s="692">
        <v>3.747870013181577</v>
      </c>
      <c r="D293" s="692">
        <v>4.3131165101900724</v>
      </c>
      <c r="E293" s="692">
        <v>4.4496648212651584</v>
      </c>
      <c r="F293" s="692">
        <v>3.7478700131815774</v>
      </c>
      <c r="G293" s="692">
        <v>4.1175877125939309</v>
      </c>
      <c r="H293" s="692">
        <v>4.2541360236690169</v>
      </c>
      <c r="I293" s="692">
        <v>3.7478700131815774</v>
      </c>
      <c r="J293" s="692">
        <v>3.9039406911413415</v>
      </c>
      <c r="K293" s="692">
        <v>4.040489002216427</v>
      </c>
      <c r="L293" s="692">
        <v>9.3134758120400711</v>
      </c>
      <c r="M293" s="692">
        <v>6.3263705917885655</v>
      </c>
      <c r="N293" s="692">
        <v>8.4266398121157486</v>
      </c>
      <c r="O293" s="692">
        <v>7.8117676458011243</v>
      </c>
      <c r="P293" s="692">
        <v>9.5738729910175913</v>
      </c>
      <c r="Q293" s="692">
        <v>1.9773464938690217</v>
      </c>
      <c r="R293" s="692">
        <v>3.9917977272309315</v>
      </c>
      <c r="S293" s="692">
        <v>5.5310858203161137</v>
      </c>
      <c r="T293" s="692">
        <v>8.5332976698019465</v>
      </c>
      <c r="U293" s="692">
        <v>6.7225957063325268</v>
      </c>
      <c r="V293" s="692">
        <v>18.540878380513831</v>
      </c>
      <c r="W293" s="692">
        <v>-30.211109572686741</v>
      </c>
      <c r="X293" s="692">
        <v>12.541487120978035</v>
      </c>
      <c r="Y293" s="692">
        <v>1.8756736564744443</v>
      </c>
      <c r="Z293" s="692">
        <v>2.9212986043099383</v>
      </c>
      <c r="AA293" s="692">
        <v>16.4937926097824</v>
      </c>
      <c r="AB293" s="692">
        <v>3.4999867538667964</v>
      </c>
      <c r="AC293" s="692">
        <v>10.443836255765662</v>
      </c>
      <c r="AD293" s="692">
        <v>249.80607534133483</v>
      </c>
      <c r="AE293" s="692">
        <v>244.28744121861081</v>
      </c>
      <c r="AF293" s="692">
        <v>2.9695412222977757</v>
      </c>
      <c r="AG293" s="692">
        <v>2.9695412222977757</v>
      </c>
      <c r="AH293" s="692">
        <v>-2.0086273516756346</v>
      </c>
      <c r="AI293" s="692">
        <v>3.8049441758188598</v>
      </c>
      <c r="AJ293" s="692">
        <v>-0.56803116278238264</v>
      </c>
      <c r="AK293" s="692">
        <v>44.695031189983446</v>
      </c>
      <c r="AL293" s="692">
        <v>3.6793380089500936</v>
      </c>
      <c r="AM293" s="692">
        <v>-8.2016352566685207</v>
      </c>
      <c r="AN293" s="689">
        <v>-7.2406219022435785</v>
      </c>
    </row>
    <row r="294" spans="1:40" x14ac:dyDescent="0.25">
      <c r="A294" s="708" t="s">
        <v>2352</v>
      </c>
      <c r="B294" s="717" t="s">
        <v>2550</v>
      </c>
      <c r="C294" s="692">
        <v>8.1868064347329259</v>
      </c>
      <c r="D294" s="692">
        <v>8.867230018475329</v>
      </c>
      <c r="E294" s="692">
        <v>9.0316020078063595</v>
      </c>
      <c r="F294" s="692">
        <v>8.1868064347329259</v>
      </c>
      <c r="G294" s="692">
        <v>8.6318594219491729</v>
      </c>
      <c r="H294" s="692">
        <v>8.7962314112802034</v>
      </c>
      <c r="I294" s="692">
        <v>8.1868064347329259</v>
      </c>
      <c r="J294" s="692">
        <v>8.3746787534054175</v>
      </c>
      <c r="K294" s="692">
        <v>8.5390507427364462</v>
      </c>
      <c r="L294" s="692">
        <v>11.443389077617921</v>
      </c>
      <c r="M294" s="692">
        <v>8.2091968516103258</v>
      </c>
      <c r="N294" s="692">
        <v>13.240442237256373</v>
      </c>
      <c r="O294" s="692">
        <v>11.020178023794468</v>
      </c>
      <c r="P294" s="692">
        <v>29.40597893760631</v>
      </c>
      <c r="Q294" s="692">
        <v>3.9102118286031065</v>
      </c>
      <c r="R294" s="692">
        <v>4.8062398891156572</v>
      </c>
      <c r="S294" s="692">
        <v>74.568705716722576</v>
      </c>
      <c r="T294" s="692">
        <v>11.911566427715011</v>
      </c>
      <c r="U294" s="692">
        <v>12.154355844352116</v>
      </c>
      <c r="V294" s="692">
        <v>27.33013331432872</v>
      </c>
      <c r="W294" s="692">
        <v>-61.720324636828273</v>
      </c>
      <c r="X294" s="692">
        <v>23.350018108549666</v>
      </c>
      <c r="Y294" s="692">
        <v>3.7860832367402577</v>
      </c>
      <c r="Z294" s="692">
        <v>6.7742683786483955</v>
      </c>
      <c r="AA294" s="692">
        <v>28.917071491786487</v>
      </c>
      <c r="AB294" s="692">
        <v>6.2926414562337127</v>
      </c>
      <c r="AC294" s="692">
        <v>17.408008021676611</v>
      </c>
      <c r="AD294" s="692">
        <v>37.858368151086303</v>
      </c>
      <c r="AE294" s="692">
        <v>34.896544404676433</v>
      </c>
      <c r="AF294" s="692">
        <v>5.6218142116727297</v>
      </c>
      <c r="AG294" s="692">
        <v>5.6218142116727297</v>
      </c>
      <c r="AH294" s="692">
        <v>-3.1956149842735697</v>
      </c>
      <c r="AI294" s="692">
        <v>8.3114786139420556</v>
      </c>
      <c r="AJ294" s="692">
        <v>42.193929046903797</v>
      </c>
      <c r="AK294" s="692">
        <v>102.19169456694659</v>
      </c>
      <c r="AL294" s="692">
        <v>50.594198848177875</v>
      </c>
      <c r="AM294" s="692">
        <v>34.561420373536528</v>
      </c>
      <c r="AN294" s="689">
        <v>25.74422487822487</v>
      </c>
    </row>
    <row r="295" spans="1:40" x14ac:dyDescent="0.25">
      <c r="A295" s="708" t="s">
        <v>252</v>
      </c>
      <c r="B295" s="717" t="s">
        <v>2550</v>
      </c>
      <c r="C295" s="692">
        <v>0.86393275392134516</v>
      </c>
      <c r="D295" s="692">
        <v>0.89793674324513761</v>
      </c>
      <c r="E295" s="692">
        <v>0.90615119010425604</v>
      </c>
      <c r="F295" s="692">
        <v>0.86393275392134505</v>
      </c>
      <c r="G295" s="692">
        <v>0.88617415969770996</v>
      </c>
      <c r="H295" s="692">
        <v>0.8943886065568285</v>
      </c>
      <c r="I295" s="692">
        <v>0.86393275392134505</v>
      </c>
      <c r="J295" s="692">
        <v>0.87332162354758369</v>
      </c>
      <c r="K295" s="692">
        <v>0.88153607040670212</v>
      </c>
      <c r="L295" s="692">
        <v>0.28725353887797161</v>
      </c>
      <c r="M295" s="692">
        <v>0.45778029279436666</v>
      </c>
      <c r="N295" s="692">
        <v>5.9745998998227661</v>
      </c>
      <c r="O295" s="692">
        <v>0.61179145349650799</v>
      </c>
      <c r="P295" s="692">
        <v>0.3772715723977963</v>
      </c>
      <c r="Q295" s="692">
        <v>0.29939813786935821</v>
      </c>
      <c r="R295" s="692">
        <v>0.5697434061494091</v>
      </c>
      <c r="S295" s="692">
        <v>0.57275183219347059</v>
      </c>
      <c r="T295" s="692">
        <v>0.68059725881092004</v>
      </c>
      <c r="U295" s="692">
        <v>0.72385082910440768</v>
      </c>
      <c r="V295" s="692">
        <v>2.5951633292997776</v>
      </c>
      <c r="W295" s="692">
        <v>-3.7614418433121366</v>
      </c>
      <c r="X295" s="692">
        <v>3.6991441598329611</v>
      </c>
      <c r="Y295" s="692">
        <v>0.22672046568870935</v>
      </c>
      <c r="Z295" s="692">
        <v>6.306065067294651</v>
      </c>
      <c r="AA295" s="692">
        <v>3.7403551106749893</v>
      </c>
      <c r="AB295" s="692">
        <v>0.43582339134357817</v>
      </c>
      <c r="AC295" s="692">
        <v>1.618787508987213</v>
      </c>
      <c r="AD295" s="692">
        <v>2.0141600217342437</v>
      </c>
      <c r="AE295" s="692">
        <v>3.2820402971792753</v>
      </c>
      <c r="AF295" s="692">
        <v>0.4619287147697288</v>
      </c>
      <c r="AG295" s="692">
        <v>0.4619287147697288</v>
      </c>
      <c r="AH295" s="692">
        <v>-0.81397860625210405</v>
      </c>
      <c r="AI295" s="692">
        <v>0.87708909027547732</v>
      </c>
      <c r="AJ295" s="692">
        <v>3.2617543903840676</v>
      </c>
      <c r="AK295" s="692">
        <v>12.864713983123018</v>
      </c>
      <c r="AL295" s="692">
        <v>3.6613790962174031</v>
      </c>
      <c r="AM295" s="692">
        <v>0.33636769439570635</v>
      </c>
      <c r="AN295" s="689">
        <v>-0.36715196710593606</v>
      </c>
    </row>
    <row r="296" spans="1:40" x14ac:dyDescent="0.25">
      <c r="A296" s="708" t="s">
        <v>253</v>
      </c>
      <c r="B296" s="717" t="s">
        <v>2550</v>
      </c>
      <c r="C296" s="692">
        <v>0.75053217580181808</v>
      </c>
      <c r="D296" s="692">
        <v>0.7824967547999514</v>
      </c>
      <c r="E296" s="692">
        <v>0.79021853511972517</v>
      </c>
      <c r="F296" s="692">
        <v>0.75053217580181808</v>
      </c>
      <c r="G296" s="692">
        <v>0.77143963948787198</v>
      </c>
      <c r="H296" s="692">
        <v>0.77916141980764575</v>
      </c>
      <c r="I296" s="692">
        <v>0.75053217580181808</v>
      </c>
      <c r="J296" s="692">
        <v>0.75935794215568209</v>
      </c>
      <c r="K296" s="692">
        <v>0.76707972247545586</v>
      </c>
      <c r="L296" s="692">
        <v>0.23425327937515517</v>
      </c>
      <c r="M296" s="692">
        <v>0.43465610396675158</v>
      </c>
      <c r="N296" s="692">
        <v>1.3420436757136383</v>
      </c>
      <c r="O296" s="692">
        <v>0.53148919996725552</v>
      </c>
      <c r="P296" s="692">
        <v>0.29108730141346389</v>
      </c>
      <c r="Q296" s="692">
        <v>0.17900060901603196</v>
      </c>
      <c r="R296" s="692">
        <v>0.29972973504387412</v>
      </c>
      <c r="S296" s="692">
        <v>0.39176350893657319</v>
      </c>
      <c r="T296" s="692">
        <v>0.58054219153796416</v>
      </c>
      <c r="U296" s="692">
        <v>0.53864762368449326</v>
      </c>
      <c r="V296" s="692">
        <v>2.2826608339170553</v>
      </c>
      <c r="W296" s="692">
        <v>-4.0950216139898643</v>
      </c>
      <c r="X296" s="692">
        <v>2.9379817879844574</v>
      </c>
      <c r="Y296" s="692">
        <v>0.13940616063778766</v>
      </c>
      <c r="Z296" s="692">
        <v>0.95043107897097834</v>
      </c>
      <c r="AA296" s="692">
        <v>2.1434393153814084</v>
      </c>
      <c r="AB296" s="692">
        <v>0.3844378663980158</v>
      </c>
      <c r="AC296" s="692">
        <v>1.6091521644901512</v>
      </c>
      <c r="AD296" s="692">
        <v>1.882133623967857</v>
      </c>
      <c r="AE296" s="692">
        <v>2.6359036814516696</v>
      </c>
      <c r="AF296" s="692">
        <v>0.2729376956452822</v>
      </c>
      <c r="AG296" s="692">
        <v>0.2729376956452822</v>
      </c>
      <c r="AH296" s="692">
        <v>-0.4477563489423414</v>
      </c>
      <c r="AI296" s="692">
        <v>0.76196159979880007</v>
      </c>
      <c r="AJ296" s="692">
        <v>2.7894506238447301</v>
      </c>
      <c r="AK296" s="692">
        <v>10.800186263278501</v>
      </c>
      <c r="AL296" s="692">
        <v>3.462889484252401</v>
      </c>
      <c r="AM296" s="692">
        <v>1.6357134344704594</v>
      </c>
      <c r="AN296" s="689">
        <v>2.2916332800694326</v>
      </c>
    </row>
    <row r="297" spans="1:40" x14ac:dyDescent="0.25">
      <c r="A297" s="708" t="s">
        <v>898</v>
      </c>
      <c r="B297" s="717" t="s">
        <v>2550</v>
      </c>
      <c r="C297" s="692">
        <v>3.6541196198347046</v>
      </c>
      <c r="D297" s="692">
        <v>3.8637946453863545</v>
      </c>
      <c r="E297" s="692">
        <v>3.9144464774016408</v>
      </c>
      <c r="F297" s="692">
        <v>3.6541196198347046</v>
      </c>
      <c r="G297" s="692">
        <v>3.7912643318876791</v>
      </c>
      <c r="H297" s="692">
        <v>3.8419161639029653</v>
      </c>
      <c r="I297" s="692">
        <v>3.6541196198347046</v>
      </c>
      <c r="J297" s="692">
        <v>3.7120131646196182</v>
      </c>
      <c r="K297" s="692">
        <v>3.7626649966349044</v>
      </c>
      <c r="L297" s="692">
        <v>5.9220313172819807</v>
      </c>
      <c r="M297" s="692">
        <v>1.5940698572489589</v>
      </c>
      <c r="N297" s="692">
        <v>8.6638904424168484</v>
      </c>
      <c r="O297" s="692">
        <v>2.362570334569694</v>
      </c>
      <c r="P297" s="692">
        <v>13.307101526125864</v>
      </c>
      <c r="Q297" s="692">
        <v>3.3446892661733378</v>
      </c>
      <c r="R297" s="692">
        <v>2.8937934680186213</v>
      </c>
      <c r="S297" s="692">
        <v>39.04969614036024</v>
      </c>
      <c r="T297" s="692">
        <v>2.8512291963622323</v>
      </c>
      <c r="U297" s="692">
        <v>5.2518004422885536</v>
      </c>
      <c r="V297" s="692">
        <v>7.8004240350834522</v>
      </c>
      <c r="W297" s="692">
        <v>6.6094314888175187</v>
      </c>
      <c r="X297" s="692">
        <v>9.9689141168737265</v>
      </c>
      <c r="Y297" s="692">
        <v>0.73332472101871804</v>
      </c>
      <c r="Z297" s="692">
        <v>5.2644686240958745</v>
      </c>
      <c r="AA297" s="692">
        <v>20.616290133860637</v>
      </c>
      <c r="AB297" s="692">
        <v>0.33925179332834587</v>
      </c>
      <c r="AC297" s="692">
        <v>5.590852260070716E-2</v>
      </c>
      <c r="AD297" s="692">
        <v>7.8794776433311258</v>
      </c>
      <c r="AE297" s="692">
        <v>10.389049905939837</v>
      </c>
      <c r="AF297" s="692">
        <v>2.1439017119414436</v>
      </c>
      <c r="AG297" s="692">
        <v>2.1439017119414436</v>
      </c>
      <c r="AH297" s="692">
        <v>-5.2362514305121444</v>
      </c>
      <c r="AI297" s="692">
        <v>3.7097661115073142</v>
      </c>
      <c r="AJ297" s="692">
        <v>32.819989252100903</v>
      </c>
      <c r="AK297" s="692">
        <v>82.930204992632738</v>
      </c>
      <c r="AL297" s="692">
        <v>69.761850279981346</v>
      </c>
      <c r="AM297" s="692">
        <v>78.944044966301988</v>
      </c>
      <c r="AN297" s="689">
        <v>59.410174038592423</v>
      </c>
    </row>
    <row r="298" spans="1:40" x14ac:dyDescent="0.25">
      <c r="A298" s="708" t="s">
        <v>899</v>
      </c>
      <c r="B298" s="717" t="s">
        <v>2550</v>
      </c>
      <c r="C298" s="692">
        <v>9.4070522383991398E-2</v>
      </c>
      <c r="D298" s="692">
        <v>9.6944030345358784E-2</v>
      </c>
      <c r="E298" s="692">
        <v>9.7638192380970018E-2</v>
      </c>
      <c r="F298" s="692">
        <v>9.4070522383991384E-2</v>
      </c>
      <c r="G298" s="692">
        <v>9.5950032930880932E-2</v>
      </c>
      <c r="H298" s="692">
        <v>9.6644194966492153E-2</v>
      </c>
      <c r="I298" s="692">
        <v>9.4070522383991384E-2</v>
      </c>
      <c r="J298" s="692">
        <v>9.4863929044672821E-2</v>
      </c>
      <c r="K298" s="692">
        <v>9.5558091080284041E-2</v>
      </c>
      <c r="L298" s="692">
        <v>4.7403816585085523E-2</v>
      </c>
      <c r="M298" s="692">
        <v>2.4207132526646396E-2</v>
      </c>
      <c r="N298" s="692">
        <v>0.16731321208649275</v>
      </c>
      <c r="O298" s="692">
        <v>7.2343875426987683E-2</v>
      </c>
      <c r="P298" s="692">
        <v>8.316191741165499E-2</v>
      </c>
      <c r="Q298" s="692">
        <v>1.9912945390286731E-2</v>
      </c>
      <c r="R298" s="692">
        <v>1.6883532490295755E-2</v>
      </c>
      <c r="S298" s="692">
        <v>0.19751884706625991</v>
      </c>
      <c r="T298" s="692">
        <v>7.4014557573135575E-2</v>
      </c>
      <c r="U298" s="692">
        <v>5.8782555473290747E-2</v>
      </c>
      <c r="V298" s="692">
        <v>0.2753811797008322</v>
      </c>
      <c r="W298" s="692">
        <v>-5.1695775300931297</v>
      </c>
      <c r="X298" s="692">
        <v>0.32043748464825045</v>
      </c>
      <c r="Y298" s="692">
        <v>1.4675984190096299E-2</v>
      </c>
      <c r="Z298" s="692">
        <v>3.4335879906265548E-2</v>
      </c>
      <c r="AA298" s="692">
        <v>0.16469749242236642</v>
      </c>
      <c r="AB298" s="692">
        <v>5.7391532441731306E-2</v>
      </c>
      <c r="AC298" s="692">
        <v>0.26440318442322408</v>
      </c>
      <c r="AD298" s="692">
        <v>0.3002508066334274</v>
      </c>
      <c r="AE298" s="692">
        <v>0.35245979975727115</v>
      </c>
      <c r="AF298" s="692">
        <v>1.9142655277223718E-2</v>
      </c>
      <c r="AG298" s="692">
        <v>1.9142655277223718E-2</v>
      </c>
      <c r="AH298" s="692">
        <v>-1.9270452109079919E-2</v>
      </c>
      <c r="AI298" s="692">
        <v>9.5503068410143541E-2</v>
      </c>
      <c r="AJ298" s="692">
        <v>-0.33765958712718236</v>
      </c>
      <c r="AK298" s="692">
        <v>0.80806948791186439</v>
      </c>
      <c r="AL298" s="692">
        <v>0.53438122907496988</v>
      </c>
      <c r="AM298" s="692">
        <v>0.44914234886854754</v>
      </c>
      <c r="AN298" s="689">
        <v>0.5022461231786296</v>
      </c>
    </row>
    <row r="299" spans="1:40" x14ac:dyDescent="0.25">
      <c r="A299" s="708" t="s">
        <v>900</v>
      </c>
      <c r="B299" s="717" t="s">
        <v>2550</v>
      </c>
      <c r="C299" s="692">
        <v>0.18682144182363028</v>
      </c>
      <c r="D299" s="692">
        <v>0.19378019019892687</v>
      </c>
      <c r="E299" s="692">
        <v>0.19546123615475694</v>
      </c>
      <c r="F299" s="692">
        <v>0.18682144182363028</v>
      </c>
      <c r="G299" s="692">
        <v>0.19137303560390176</v>
      </c>
      <c r="H299" s="692">
        <v>0.19305408155973183</v>
      </c>
      <c r="I299" s="692">
        <v>0.18682144182363028</v>
      </c>
      <c r="J299" s="692">
        <v>0.18874282759502697</v>
      </c>
      <c r="K299" s="692">
        <v>0.19042387355085705</v>
      </c>
      <c r="L299" s="692">
        <v>9.2240565243133246E-2</v>
      </c>
      <c r="M299" s="692">
        <v>0.27226595953288457</v>
      </c>
      <c r="N299" s="692">
        <v>0.22293499487305926</v>
      </c>
      <c r="O299" s="692">
        <v>0.19846194748583237</v>
      </c>
      <c r="P299" s="692">
        <v>0.1019593403004091</v>
      </c>
      <c r="Q299" s="692">
        <v>5.392815854524028E-2</v>
      </c>
      <c r="R299" s="692">
        <v>8.1052319398176892E-2</v>
      </c>
      <c r="S299" s="692">
        <v>9.2682700251958988E-2</v>
      </c>
      <c r="T299" s="692">
        <v>0.20508250569111636</v>
      </c>
      <c r="U299" s="692">
        <v>0.16357522402499383</v>
      </c>
      <c r="V299" s="692">
        <v>0.75735559637957428</v>
      </c>
      <c r="W299" s="692">
        <v>-0.28774559383149645</v>
      </c>
      <c r="X299" s="692">
        <v>0.92024287625288481</v>
      </c>
      <c r="Y299" s="692">
        <v>5.2830919330358078E-2</v>
      </c>
      <c r="Z299" s="692">
        <v>9.0962553972280979E-2</v>
      </c>
      <c r="AA299" s="692">
        <v>0.60640447715756463</v>
      </c>
      <c r="AB299" s="692">
        <v>0.16477586861219679</v>
      </c>
      <c r="AC299" s="692">
        <v>0.68692545417312467</v>
      </c>
      <c r="AD299" s="692">
        <v>0.7917707910262497</v>
      </c>
      <c r="AE299" s="692">
        <v>0.97966205647065407</v>
      </c>
      <c r="AF299" s="692">
        <v>9.1130194952704829E-2</v>
      </c>
      <c r="AG299" s="692">
        <v>9.1130194952704829E-2</v>
      </c>
      <c r="AH299" s="692">
        <v>-0.10980445095152651</v>
      </c>
      <c r="AI299" s="692">
        <v>0.18966643839962463</v>
      </c>
      <c r="AJ299" s="692">
        <v>1.3235159256860614</v>
      </c>
      <c r="AK299" s="692">
        <v>2.8561739332392695</v>
      </c>
      <c r="AL299" s="692">
        <v>1.3696027481765694</v>
      </c>
      <c r="AM299" s="692">
        <v>0.86739835496765882</v>
      </c>
      <c r="AN299" s="689">
        <v>1.2036606691931011</v>
      </c>
    </row>
    <row r="300" spans="1:40" x14ac:dyDescent="0.25">
      <c r="A300" s="708" t="s">
        <v>14</v>
      </c>
      <c r="B300" s="717" t="s">
        <v>2550</v>
      </c>
      <c r="C300" s="692">
        <v>9.6436867544686891</v>
      </c>
      <c r="D300" s="692">
        <v>13.391604576020955</v>
      </c>
      <c r="E300" s="692">
        <v>14.297000454261109</v>
      </c>
      <c r="F300" s="692">
        <v>9.6436867544686891</v>
      </c>
      <c r="G300" s="692">
        <v>12.095133268342508</v>
      </c>
      <c r="H300" s="692">
        <v>13.000529146582664</v>
      </c>
      <c r="I300" s="692">
        <v>9.6436867544686891</v>
      </c>
      <c r="J300" s="692">
        <v>10.678527445110515</v>
      </c>
      <c r="K300" s="692">
        <v>11.583923323350669</v>
      </c>
      <c r="L300" s="692">
        <v>70.321399857627938</v>
      </c>
      <c r="M300" s="692">
        <v>138.5835105694434</v>
      </c>
      <c r="N300" s="692">
        <v>106.43094786519734</v>
      </c>
      <c r="O300" s="692">
        <v>32.975547458418767</v>
      </c>
      <c r="P300" s="692">
        <v>65.03206084195736</v>
      </c>
      <c r="Q300" s="692">
        <v>8.1247940663702458</v>
      </c>
      <c r="R300" s="692">
        <v>10.494963633552182</v>
      </c>
      <c r="S300" s="692">
        <v>4.8567305622648522</v>
      </c>
      <c r="T300" s="692">
        <v>38.589502446961973</v>
      </c>
      <c r="U300" s="692">
        <v>27.378094628480564</v>
      </c>
      <c r="V300" s="692">
        <v>92.871903287795604</v>
      </c>
      <c r="W300" s="692">
        <v>-14.732309947318484</v>
      </c>
      <c r="X300" s="692">
        <v>-3368.8173168753237</v>
      </c>
      <c r="Y300" s="692">
        <v>2.6525848277794233</v>
      </c>
      <c r="Z300" s="692">
        <v>108.9490412307549</v>
      </c>
      <c r="AA300" s="692">
        <v>69.35963745430918</v>
      </c>
      <c r="AB300" s="692">
        <v>2.0004907114173229</v>
      </c>
      <c r="AC300" s="692">
        <v>0.39715095001876471</v>
      </c>
      <c r="AD300" s="692">
        <v>91.938006351093904</v>
      </c>
      <c r="AE300" s="692">
        <v>-3065.4822935684865</v>
      </c>
      <c r="AF300" s="692">
        <v>8.0101147342964421</v>
      </c>
      <c r="AG300" s="692">
        <v>8.0101147342964421</v>
      </c>
      <c r="AH300" s="692">
        <v>-16.309507446978056</v>
      </c>
      <c r="AI300" s="692">
        <v>9.790544928394608</v>
      </c>
      <c r="AJ300" s="692">
        <v>-823.89972511634983</v>
      </c>
      <c r="AK300" s="692">
        <v>-3012.8974107670037</v>
      </c>
      <c r="AL300" s="692">
        <v>-2.528915343376589</v>
      </c>
      <c r="AM300" s="692">
        <v>-63.307444464034489</v>
      </c>
      <c r="AN300" s="689">
        <v>-63.851540976820715</v>
      </c>
    </row>
    <row r="301" spans="1:40" x14ac:dyDescent="0.25">
      <c r="A301" s="708" t="s">
        <v>10</v>
      </c>
      <c r="B301" s="717" t="s">
        <v>2550</v>
      </c>
      <c r="C301" s="692">
        <v>8.2725818921341732E-2</v>
      </c>
      <c r="D301" s="692">
        <v>0.10989895250625448</v>
      </c>
      <c r="E301" s="692">
        <v>0.11646324882171091</v>
      </c>
      <c r="F301" s="692">
        <v>8.2725818921341732E-2</v>
      </c>
      <c r="G301" s="692">
        <v>0.1004992832205597</v>
      </c>
      <c r="H301" s="692">
        <v>0.10706357953601614</v>
      </c>
      <c r="I301" s="692">
        <v>8.2725818921341732E-2</v>
      </c>
      <c r="J301" s="692">
        <v>9.0228615317839919E-2</v>
      </c>
      <c r="K301" s="692">
        <v>9.6792911633296369E-2</v>
      </c>
      <c r="L301" s="692">
        <v>8.8808520548040143E-2</v>
      </c>
      <c r="M301" s="692">
        <v>3.8834910429875094E-2</v>
      </c>
      <c r="N301" s="692">
        <v>0.19776100573987809</v>
      </c>
      <c r="O301" s="692">
        <v>0.30164384026056612</v>
      </c>
      <c r="P301" s="692">
        <v>9.4117457365460108E-2</v>
      </c>
      <c r="Q301" s="692">
        <v>7.125981589266929E-2</v>
      </c>
      <c r="R301" s="692">
        <v>9.2502065295580804E-2</v>
      </c>
      <c r="S301" s="692">
        <v>7.9764147815110986E-2</v>
      </c>
      <c r="T301" s="692">
        <v>0.33987549933154049</v>
      </c>
      <c r="U301" s="692">
        <v>0.16894946361812777</v>
      </c>
      <c r="V301" s="692">
        <v>0.94892114921287185</v>
      </c>
      <c r="W301" s="692">
        <v>-1.5113190425101</v>
      </c>
      <c r="X301" s="692">
        <v>-18.847338566018095</v>
      </c>
      <c r="Y301" s="692">
        <v>4.3651608522692294E-2</v>
      </c>
      <c r="Z301" s="692">
        <v>4.2389215387016725E-2</v>
      </c>
      <c r="AA301" s="692">
        <v>0.66032808342704941</v>
      </c>
      <c r="AB301" s="692">
        <v>8.3370886292409602E-2</v>
      </c>
      <c r="AC301" s="692">
        <v>0.34169297744366067</v>
      </c>
      <c r="AD301" s="692">
        <v>0.81559898029539024</v>
      </c>
      <c r="AE301" s="692">
        <v>-21.763522850121614</v>
      </c>
      <c r="AF301" s="692">
        <v>7.8113619634288062E-2</v>
      </c>
      <c r="AG301" s="692">
        <v>7.8113619634288062E-2</v>
      </c>
      <c r="AH301" s="692">
        <v>-0.15271814665173047</v>
      </c>
      <c r="AI301" s="692">
        <v>8.3985602965829159E-2</v>
      </c>
      <c r="AJ301" s="692">
        <v>7.8333043391136378E-2</v>
      </c>
      <c r="AK301" s="692">
        <v>-25.986256312977879</v>
      </c>
      <c r="AL301" s="692">
        <v>1.5675531802819694E-3</v>
      </c>
      <c r="AM301" s="692">
        <v>-0.58327959748289282</v>
      </c>
      <c r="AN301" s="689">
        <v>-0.22264680301190681</v>
      </c>
    </row>
    <row r="302" spans="1:40" x14ac:dyDescent="0.25">
      <c r="A302" s="708" t="s">
        <v>8</v>
      </c>
      <c r="B302" s="717" t="s">
        <v>2550</v>
      </c>
      <c r="C302" s="692">
        <v>4873.7821180925584</v>
      </c>
      <c r="D302" s="692">
        <v>6053.9769962213913</v>
      </c>
      <c r="E302" s="692">
        <v>6339.0802532974576</v>
      </c>
      <c r="F302" s="692">
        <v>4873.7821180925584</v>
      </c>
      <c r="G302" s="692">
        <v>5645.7266370047691</v>
      </c>
      <c r="H302" s="692">
        <v>5930.8298940808363</v>
      </c>
      <c r="I302" s="692">
        <v>4873.7821180925584</v>
      </c>
      <c r="J302" s="692">
        <v>5199.6467023562973</v>
      </c>
      <c r="K302" s="692">
        <v>5484.7499594323635</v>
      </c>
      <c r="L302" s="692">
        <v>17222.831216607643</v>
      </c>
      <c r="M302" s="692">
        <v>6765.3887352791253</v>
      </c>
      <c r="N302" s="692">
        <v>73288.96812737966</v>
      </c>
      <c r="O302" s="692">
        <v>10907.287050114201</v>
      </c>
      <c r="P302" s="692">
        <v>19687.198909062634</v>
      </c>
      <c r="Q302" s="692">
        <v>3370.5940931834725</v>
      </c>
      <c r="R302" s="692">
        <v>5384.0122978370619</v>
      </c>
      <c r="S302" s="692">
        <v>3026.3828464923881</v>
      </c>
      <c r="T302" s="692">
        <v>12791.358530664535</v>
      </c>
      <c r="U302" s="692">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7">
        <v>-17428.680055577086</v>
      </c>
    </row>
    <row r="303" spans="1:40" x14ac:dyDescent="0.25">
      <c r="A303" s="708" t="s">
        <v>2353</v>
      </c>
      <c r="B303" s="717" t="s">
        <v>2550</v>
      </c>
      <c r="C303" s="692">
        <v>4887.0166810697347</v>
      </c>
      <c r="D303" s="692">
        <v>6068.7756326715644</v>
      </c>
      <c r="E303" s="692">
        <v>6354.2567277214439</v>
      </c>
      <c r="F303" s="692">
        <v>4887.0166810697347</v>
      </c>
      <c r="G303" s="692">
        <v>5659.9842326751304</v>
      </c>
      <c r="H303" s="692">
        <v>5945.4653277250109</v>
      </c>
      <c r="I303" s="692">
        <v>4887.0166810697347</v>
      </c>
      <c r="J303" s="692">
        <v>5213.3131229541777</v>
      </c>
      <c r="K303" s="692">
        <v>5498.7942180040582</v>
      </c>
      <c r="L303" s="692">
        <v>17253.292357171362</v>
      </c>
      <c r="M303" s="692">
        <v>6778.4306195751751</v>
      </c>
      <c r="N303" s="692">
        <v>73324.554749975039</v>
      </c>
      <c r="O303" s="692">
        <v>10929.503682821738</v>
      </c>
      <c r="P303" s="692">
        <v>19717.440449759346</v>
      </c>
      <c r="Q303" s="692">
        <v>3424.0610416660193</v>
      </c>
      <c r="R303" s="692">
        <v>5395.8100587009949</v>
      </c>
      <c r="S303" s="692">
        <v>3040.8897340142748</v>
      </c>
      <c r="T303" s="692">
        <v>12815.693128253864</v>
      </c>
      <c r="U303" s="692">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7">
        <v>-17443.659352204842</v>
      </c>
    </row>
    <row r="304" spans="1:40" x14ac:dyDescent="0.25">
      <c r="A304" s="711" t="s">
        <v>897</v>
      </c>
      <c r="B304" s="720" t="s">
        <v>2551</v>
      </c>
      <c r="C304" s="700">
        <v>5196.982694918428</v>
      </c>
      <c r="D304" s="700">
        <v>6497.8478630711961</v>
      </c>
      <c r="E304" s="700">
        <v>6812.1018081867524</v>
      </c>
      <c r="F304" s="700">
        <v>5196.982694918428</v>
      </c>
      <c r="G304" s="700">
        <v>6047.8555083909496</v>
      </c>
      <c r="H304" s="700">
        <v>6362.1094535065067</v>
      </c>
      <c r="I304" s="700">
        <v>5196.982694918428</v>
      </c>
      <c r="J304" s="700">
        <v>5556.1656528002413</v>
      </c>
      <c r="K304" s="700">
        <v>5870.4195979157976</v>
      </c>
      <c r="L304" s="700">
        <v>19373.114799038289</v>
      </c>
      <c r="M304" s="700">
        <v>10918.821165091944</v>
      </c>
      <c r="N304" s="700">
        <v>76550.185750924909</v>
      </c>
      <c r="O304" s="700">
        <v>11994.523765473752</v>
      </c>
      <c r="P304" s="700">
        <v>21681.089928710448</v>
      </c>
      <c r="Q304" s="700">
        <v>3685.6338345825511</v>
      </c>
      <c r="R304" s="700">
        <v>5733.8130388065438</v>
      </c>
      <c r="S304" s="700">
        <v>3207.3959171232927</v>
      </c>
      <c r="T304" s="700">
        <v>14058.446312490842</v>
      </c>
      <c r="U304" s="700">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1">
        <v>-19407.217850536352</v>
      </c>
    </row>
    <row r="305" spans="1:40" x14ac:dyDescent="0.25">
      <c r="A305" s="715" t="s">
        <v>2644</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8" t="s">
        <v>2348</v>
      </c>
      <c r="B306" s="717" t="s">
        <v>2548</v>
      </c>
      <c r="C306" s="692">
        <v>1000000</v>
      </c>
      <c r="D306" s="692">
        <v>1000000</v>
      </c>
      <c r="E306" s="692">
        <v>1000000</v>
      </c>
      <c r="F306" s="692">
        <v>1000000</v>
      </c>
      <c r="G306" s="692">
        <v>1000000</v>
      </c>
      <c r="H306" s="692">
        <v>1000000</v>
      </c>
      <c r="I306" s="692">
        <v>1000000</v>
      </c>
      <c r="J306" s="692">
        <v>1000000</v>
      </c>
      <c r="K306" s="692">
        <v>1000000</v>
      </c>
      <c r="L306" s="692">
        <v>1000000</v>
      </c>
      <c r="M306" s="692">
        <v>1000000</v>
      </c>
      <c r="N306" s="692">
        <v>1000000</v>
      </c>
      <c r="O306" s="692">
        <v>1000000</v>
      </c>
      <c r="P306" s="692">
        <v>1000000</v>
      </c>
      <c r="Q306" s="692">
        <v>1000000</v>
      </c>
      <c r="R306" s="692">
        <v>1000000</v>
      </c>
      <c r="S306" s="692">
        <v>1000000</v>
      </c>
      <c r="T306" s="692">
        <v>1000000</v>
      </c>
      <c r="U306" s="692">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2">
        <v>1000000</v>
      </c>
      <c r="AJ306" s="251">
        <v>1000000</v>
      </c>
      <c r="AK306" s="251">
        <v>1000000</v>
      </c>
      <c r="AL306" s="251">
        <v>1000000</v>
      </c>
      <c r="AM306" s="251">
        <v>1000000</v>
      </c>
      <c r="AN306" s="617">
        <v>1000000</v>
      </c>
    </row>
    <row r="307" spans="1:40" x14ac:dyDescent="0.25">
      <c r="A307" s="708" t="s">
        <v>2349</v>
      </c>
      <c r="B307" s="717" t="s">
        <v>2548</v>
      </c>
      <c r="C307" s="692">
        <v>1000000</v>
      </c>
      <c r="D307" s="692">
        <v>1000000</v>
      </c>
      <c r="E307" s="692">
        <v>1000000</v>
      </c>
      <c r="F307" s="692">
        <v>1000000</v>
      </c>
      <c r="G307" s="692">
        <v>1000000</v>
      </c>
      <c r="H307" s="692">
        <v>1000000</v>
      </c>
      <c r="I307" s="692">
        <v>1000000</v>
      </c>
      <c r="J307" s="692">
        <v>1000000</v>
      </c>
      <c r="K307" s="692">
        <v>1000000</v>
      </c>
      <c r="L307" s="692">
        <v>1000000</v>
      </c>
      <c r="M307" s="692">
        <v>1000000</v>
      </c>
      <c r="N307" s="692">
        <v>511494.65936177887</v>
      </c>
      <c r="O307" s="692">
        <v>500000</v>
      </c>
      <c r="P307" s="692">
        <v>509965.27662661363</v>
      </c>
      <c r="Q307" s="692">
        <v>0</v>
      </c>
      <c r="R307" s="692">
        <v>0</v>
      </c>
      <c r="S307" s="692">
        <v>0</v>
      </c>
      <c r="T307" s="692">
        <v>0</v>
      </c>
      <c r="U307" s="692">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2">
        <v>1000000</v>
      </c>
      <c r="AJ307" s="251">
        <v>0</v>
      </c>
      <c r="AK307" s="251">
        <v>0</v>
      </c>
      <c r="AL307" s="251">
        <v>0</v>
      </c>
      <c r="AM307" s="251">
        <v>0</v>
      </c>
      <c r="AN307" s="617">
        <v>0</v>
      </c>
    </row>
    <row r="308" spans="1:40" x14ac:dyDescent="0.25">
      <c r="A308" s="708" t="s">
        <v>2221</v>
      </c>
      <c r="B308" s="717" t="s">
        <v>2548</v>
      </c>
      <c r="C308" s="692">
        <v>0</v>
      </c>
      <c r="D308" s="692">
        <v>0</v>
      </c>
      <c r="E308" s="692">
        <v>0</v>
      </c>
      <c r="F308" s="692">
        <v>0</v>
      </c>
      <c r="G308" s="692">
        <v>0</v>
      </c>
      <c r="H308" s="692">
        <v>0</v>
      </c>
      <c r="I308" s="692">
        <v>0</v>
      </c>
      <c r="J308" s="692">
        <v>0</v>
      </c>
      <c r="K308" s="692">
        <v>0</v>
      </c>
      <c r="L308" s="692">
        <v>0</v>
      </c>
      <c r="M308" s="692">
        <v>0</v>
      </c>
      <c r="N308" s="692">
        <v>511494.65936177887</v>
      </c>
      <c r="O308" s="692">
        <v>0</v>
      </c>
      <c r="P308" s="692">
        <v>0</v>
      </c>
      <c r="Q308" s="692">
        <v>0</v>
      </c>
      <c r="R308" s="692">
        <v>0</v>
      </c>
      <c r="S308" s="692">
        <v>0</v>
      </c>
      <c r="T308" s="692">
        <v>0</v>
      </c>
      <c r="U308" s="692">
        <v>0</v>
      </c>
      <c r="V308" s="251">
        <v>0</v>
      </c>
      <c r="W308" s="73">
        <v>0</v>
      </c>
      <c r="X308" s="251">
        <v>0</v>
      </c>
      <c r="Y308" s="251">
        <v>0</v>
      </c>
      <c r="Z308" s="73">
        <v>1</v>
      </c>
      <c r="AA308" s="73">
        <v>0</v>
      </c>
      <c r="AB308" s="73">
        <v>0</v>
      </c>
      <c r="AC308" s="73">
        <v>0</v>
      </c>
      <c r="AD308" s="251">
        <v>0</v>
      </c>
      <c r="AE308" s="251">
        <v>0</v>
      </c>
      <c r="AF308" s="251">
        <v>0</v>
      </c>
      <c r="AG308" s="251">
        <v>0</v>
      </c>
      <c r="AH308" s="251">
        <v>0</v>
      </c>
      <c r="AI308" s="692">
        <v>0</v>
      </c>
      <c r="AJ308" s="251">
        <v>0</v>
      </c>
      <c r="AK308" s="251">
        <v>0</v>
      </c>
      <c r="AL308" s="251">
        <v>0</v>
      </c>
      <c r="AM308" s="251">
        <v>0</v>
      </c>
      <c r="AN308" s="617">
        <v>0</v>
      </c>
    </row>
    <row r="309" spans="1:40" x14ac:dyDescent="0.25">
      <c r="A309" s="708" t="s">
        <v>250</v>
      </c>
      <c r="B309" s="717" t="s">
        <v>2548</v>
      </c>
      <c r="C309" s="692">
        <v>0</v>
      </c>
      <c r="D309" s="692">
        <v>0</v>
      </c>
      <c r="E309" s="692">
        <v>0</v>
      </c>
      <c r="F309" s="692">
        <v>0</v>
      </c>
      <c r="G309" s="692">
        <v>0</v>
      </c>
      <c r="H309" s="692">
        <v>0</v>
      </c>
      <c r="I309" s="692">
        <v>0</v>
      </c>
      <c r="J309" s="692">
        <v>0</v>
      </c>
      <c r="K309" s="692">
        <v>0</v>
      </c>
      <c r="L309" s="692">
        <v>1000000</v>
      </c>
      <c r="M309" s="692">
        <v>1000000</v>
      </c>
      <c r="N309" s="692">
        <v>0</v>
      </c>
      <c r="O309" s="692">
        <v>0</v>
      </c>
      <c r="P309" s="692">
        <v>509965.27662661363</v>
      </c>
      <c r="Q309" s="692">
        <v>0</v>
      </c>
      <c r="R309" s="692">
        <v>0</v>
      </c>
      <c r="S309" s="692">
        <v>0</v>
      </c>
      <c r="T309" s="692">
        <v>0</v>
      </c>
      <c r="U309" s="692">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2">
        <v>0</v>
      </c>
      <c r="AJ309" s="251">
        <v>0</v>
      </c>
      <c r="AK309" s="251">
        <v>0</v>
      </c>
      <c r="AL309" s="251">
        <v>0</v>
      </c>
      <c r="AM309" s="251">
        <v>0</v>
      </c>
      <c r="AN309" s="617">
        <v>0</v>
      </c>
    </row>
    <row r="310" spans="1:40" x14ac:dyDescent="0.25">
      <c r="A310" s="708" t="s">
        <v>2350</v>
      </c>
      <c r="B310" s="717" t="s">
        <v>2548</v>
      </c>
      <c r="C310" s="692">
        <v>1000000</v>
      </c>
      <c r="D310" s="692">
        <v>1000000</v>
      </c>
      <c r="E310" s="692">
        <v>1000000</v>
      </c>
      <c r="F310" s="692">
        <v>1000000</v>
      </c>
      <c r="G310" s="692">
        <v>1000000</v>
      </c>
      <c r="H310" s="692">
        <v>1000000</v>
      </c>
      <c r="I310" s="692">
        <v>1000000</v>
      </c>
      <c r="J310" s="692">
        <v>1000000</v>
      </c>
      <c r="K310" s="692">
        <v>1000000</v>
      </c>
      <c r="L310" s="692">
        <v>0</v>
      </c>
      <c r="M310" s="692">
        <v>0</v>
      </c>
      <c r="N310" s="692">
        <v>0</v>
      </c>
      <c r="O310" s="692">
        <v>500000</v>
      </c>
      <c r="P310" s="692">
        <v>0</v>
      </c>
      <c r="Q310" s="692">
        <v>0</v>
      </c>
      <c r="R310" s="692">
        <v>0</v>
      </c>
      <c r="S310" s="692">
        <v>0</v>
      </c>
      <c r="T310" s="692">
        <v>0</v>
      </c>
      <c r="U310" s="692">
        <v>0</v>
      </c>
      <c r="V310" s="251">
        <v>0</v>
      </c>
      <c r="W310" s="73">
        <v>0</v>
      </c>
      <c r="X310" s="251">
        <v>0</v>
      </c>
      <c r="Y310" s="251">
        <v>0</v>
      </c>
      <c r="Z310" s="73">
        <v>0</v>
      </c>
      <c r="AA310" s="73">
        <v>0</v>
      </c>
      <c r="AB310" s="73">
        <v>0</v>
      </c>
      <c r="AC310" s="73">
        <v>0</v>
      </c>
      <c r="AD310" s="251">
        <v>0</v>
      </c>
      <c r="AE310" s="251">
        <v>0</v>
      </c>
      <c r="AF310" s="251">
        <v>0</v>
      </c>
      <c r="AG310" s="251">
        <v>0</v>
      </c>
      <c r="AH310" s="251">
        <v>0</v>
      </c>
      <c r="AI310" s="692">
        <v>1000000</v>
      </c>
      <c r="AJ310" s="251">
        <v>0</v>
      </c>
      <c r="AK310" s="251">
        <v>0</v>
      </c>
      <c r="AL310" s="251">
        <v>0</v>
      </c>
      <c r="AM310" s="251">
        <v>0</v>
      </c>
      <c r="AN310" s="617">
        <v>0</v>
      </c>
    </row>
    <row r="311" spans="1:40" x14ac:dyDescent="0.25">
      <c r="A311" s="708" t="s">
        <v>2351</v>
      </c>
      <c r="B311" s="717" t="s">
        <v>2549</v>
      </c>
      <c r="C311" s="692">
        <v>0</v>
      </c>
      <c r="D311" s="692">
        <v>0</v>
      </c>
      <c r="E311" s="692">
        <v>0</v>
      </c>
      <c r="F311" s="692">
        <v>0</v>
      </c>
      <c r="G311" s="692">
        <v>0</v>
      </c>
      <c r="H311" s="692">
        <v>0</v>
      </c>
      <c r="I311" s="692">
        <v>0</v>
      </c>
      <c r="J311" s="692">
        <v>0</v>
      </c>
      <c r="K311" s="692">
        <v>0</v>
      </c>
      <c r="L311" s="692">
        <v>0</v>
      </c>
      <c r="M311" s="692">
        <v>0</v>
      </c>
      <c r="N311" s="692">
        <v>0</v>
      </c>
      <c r="O311" s="692">
        <v>0</v>
      </c>
      <c r="P311" s="692">
        <v>0</v>
      </c>
      <c r="Q311" s="692">
        <v>0</v>
      </c>
      <c r="R311" s="692">
        <v>0</v>
      </c>
      <c r="S311" s="692">
        <v>0</v>
      </c>
      <c r="T311" s="692">
        <v>0</v>
      </c>
      <c r="U311" s="692">
        <v>0</v>
      </c>
      <c r="V311" s="251">
        <v>0</v>
      </c>
      <c r="W311" s="73">
        <v>0</v>
      </c>
      <c r="X311" s="251">
        <v>0</v>
      </c>
      <c r="Y311" s="251">
        <v>0</v>
      </c>
      <c r="Z311" s="73">
        <v>0</v>
      </c>
      <c r="AA311" s="73">
        <v>0</v>
      </c>
      <c r="AB311" s="73">
        <v>0</v>
      </c>
      <c r="AC311" s="73">
        <v>0</v>
      </c>
      <c r="AD311" s="251">
        <v>0</v>
      </c>
      <c r="AE311" s="251">
        <v>0</v>
      </c>
      <c r="AF311" s="251">
        <v>0</v>
      </c>
      <c r="AG311" s="251">
        <v>0</v>
      </c>
      <c r="AH311" s="251">
        <v>0</v>
      </c>
      <c r="AI311" s="692">
        <v>0</v>
      </c>
      <c r="AJ311" s="251">
        <v>0</v>
      </c>
      <c r="AK311" s="251">
        <v>0</v>
      </c>
      <c r="AL311" s="251">
        <v>0</v>
      </c>
      <c r="AM311" s="251">
        <v>0</v>
      </c>
      <c r="AN311" s="617">
        <v>0</v>
      </c>
    </row>
    <row r="312" spans="1:40" x14ac:dyDescent="0.25">
      <c r="A312" s="708" t="s">
        <v>254</v>
      </c>
      <c r="B312" s="717" t="s">
        <v>2550</v>
      </c>
      <c r="C312" s="692">
        <v>62.169038778233116</v>
      </c>
      <c r="D312" s="692">
        <v>62.169038778233116</v>
      </c>
      <c r="E312" s="692">
        <v>62.169038778233116</v>
      </c>
      <c r="F312" s="692">
        <v>62.780697211860549</v>
      </c>
      <c r="G312" s="692">
        <v>62.780697211860549</v>
      </c>
      <c r="H312" s="692">
        <v>62.780697211860549</v>
      </c>
      <c r="I312" s="692">
        <v>60.135385316484559</v>
      </c>
      <c r="J312" s="692">
        <v>60.135385316484559</v>
      </c>
      <c r="K312" s="692">
        <v>60.135385316484559</v>
      </c>
      <c r="L312" s="692">
        <v>60.135385316484559</v>
      </c>
      <c r="M312" s="692">
        <v>65.344353860839504</v>
      </c>
      <c r="N312" s="692">
        <v>60.135385316484559</v>
      </c>
      <c r="O312" s="692">
        <v>60.135385316484559</v>
      </c>
      <c r="P312" s="692">
        <v>60.135385316484559</v>
      </c>
      <c r="Q312" s="692">
        <v>60.135385316484559</v>
      </c>
      <c r="R312" s="692">
        <v>60.135385316484559</v>
      </c>
      <c r="S312" s="692">
        <v>60.135385316484559</v>
      </c>
      <c r="T312" s="692">
        <v>60.135385316484559</v>
      </c>
      <c r="U312" s="692">
        <v>60.135385316484559</v>
      </c>
      <c r="V312" s="692">
        <v>0</v>
      </c>
      <c r="W312" s="692">
        <v>0</v>
      </c>
      <c r="X312" s="692">
        <v>0</v>
      </c>
      <c r="Y312" s="692">
        <v>0</v>
      </c>
      <c r="Z312" s="692">
        <v>0</v>
      </c>
      <c r="AA312" s="692">
        <v>0</v>
      </c>
      <c r="AB312" s="692">
        <v>0</v>
      </c>
      <c r="AC312" s="692">
        <v>60.135385316484559</v>
      </c>
      <c r="AD312" s="692">
        <v>0</v>
      </c>
      <c r="AE312" s="692">
        <v>0</v>
      </c>
      <c r="AF312" s="692">
        <v>0</v>
      </c>
      <c r="AG312" s="692">
        <v>0</v>
      </c>
      <c r="AH312" s="692">
        <v>0</v>
      </c>
      <c r="AI312" s="692">
        <v>62.1830299599741</v>
      </c>
      <c r="AJ312" s="692">
        <v>58.902926366174093</v>
      </c>
      <c r="AK312" s="692">
        <v>59.852144768949252</v>
      </c>
      <c r="AL312" s="692">
        <v>60.135385316484559</v>
      </c>
      <c r="AM312" s="692">
        <v>60.135385316484559</v>
      </c>
      <c r="AN312" s="689">
        <v>60.135385316484559</v>
      </c>
    </row>
    <row r="313" spans="1:40" x14ac:dyDescent="0.25">
      <c r="A313" s="708" t="s">
        <v>251</v>
      </c>
      <c r="B313" s="717" t="s">
        <v>2550</v>
      </c>
      <c r="C313" s="692">
        <v>136.77188531211286</v>
      </c>
      <c r="D313" s="692">
        <v>136.77188531211286</v>
      </c>
      <c r="E313" s="692">
        <v>136.77188531211286</v>
      </c>
      <c r="F313" s="692">
        <v>138.1175338660932</v>
      </c>
      <c r="G313" s="692">
        <v>138.1175338660932</v>
      </c>
      <c r="H313" s="692">
        <v>138.1175338660932</v>
      </c>
      <c r="I313" s="692">
        <v>132.29784769626605</v>
      </c>
      <c r="J313" s="692">
        <v>132.29784769626605</v>
      </c>
      <c r="K313" s="692">
        <v>132.29784769626605</v>
      </c>
      <c r="L313" s="692">
        <v>132.29784769626605</v>
      </c>
      <c r="M313" s="692">
        <v>169.89532003818275</v>
      </c>
      <c r="N313" s="692">
        <v>132.29784769626605</v>
      </c>
      <c r="O313" s="692">
        <v>132.29784769626605</v>
      </c>
      <c r="P313" s="692">
        <v>132.29784769626605</v>
      </c>
      <c r="Q313" s="692">
        <v>132.29784769626605</v>
      </c>
      <c r="R313" s="692">
        <v>132.29784769626605</v>
      </c>
      <c r="S313" s="692">
        <v>132.29784769626605</v>
      </c>
      <c r="T313" s="692">
        <v>132.29784769626605</v>
      </c>
      <c r="U313" s="692">
        <v>132.29784769626605</v>
      </c>
      <c r="V313" s="692">
        <v>48.010699892561107</v>
      </c>
      <c r="W313" s="692">
        <v>48.010699892561107</v>
      </c>
      <c r="X313" s="692">
        <v>48.010699892561107</v>
      </c>
      <c r="Y313" s="692">
        <v>48.010699892561107</v>
      </c>
      <c r="Z313" s="692">
        <v>48.010699892561107</v>
      </c>
      <c r="AA313" s="692">
        <v>48.010699892561107</v>
      </c>
      <c r="AB313" s="692">
        <v>48.010699892561107</v>
      </c>
      <c r="AC313" s="692">
        <v>132.29784769626605</v>
      </c>
      <c r="AD313" s="692">
        <v>47.988110428369566</v>
      </c>
      <c r="AE313" s="692">
        <v>47.988110428369566</v>
      </c>
      <c r="AF313" s="692">
        <v>47.988110428369566</v>
      </c>
      <c r="AG313" s="692">
        <v>47.988110428369566</v>
      </c>
      <c r="AH313" s="692">
        <v>47.988110428369566</v>
      </c>
      <c r="AI313" s="692">
        <v>136.80266591194302</v>
      </c>
      <c r="AJ313" s="692">
        <v>129.58643800558301</v>
      </c>
      <c r="AK313" s="692">
        <v>131.67471849168837</v>
      </c>
      <c r="AL313" s="692">
        <v>132.29784769626605</v>
      </c>
      <c r="AM313" s="692">
        <v>132.29784769626605</v>
      </c>
      <c r="AN313" s="689">
        <v>132.29784769626605</v>
      </c>
    </row>
    <row r="314" spans="1:40" x14ac:dyDescent="0.25">
      <c r="A314" s="708" t="s">
        <v>2352</v>
      </c>
      <c r="B314" s="717" t="s">
        <v>2550</v>
      </c>
      <c r="C314" s="692">
        <v>1740.733085790527</v>
      </c>
      <c r="D314" s="692">
        <v>1740.733085790527</v>
      </c>
      <c r="E314" s="692">
        <v>1740.733085790527</v>
      </c>
      <c r="F314" s="692">
        <v>1657.4104063931181</v>
      </c>
      <c r="G314" s="692">
        <v>1657.4104063931181</v>
      </c>
      <c r="H314" s="692">
        <v>1657.4104063931181</v>
      </c>
      <c r="I314" s="692">
        <v>1587.5741723551923</v>
      </c>
      <c r="J314" s="692">
        <v>1587.5741723551923</v>
      </c>
      <c r="K314" s="692">
        <v>1587.5741723551923</v>
      </c>
      <c r="L314" s="692">
        <v>1587.5741723551923</v>
      </c>
      <c r="M314" s="692">
        <v>237.38800000000001</v>
      </c>
      <c r="N314" s="692">
        <v>1587.5741723551923</v>
      </c>
      <c r="O314" s="692">
        <v>1587.5741723551923</v>
      </c>
      <c r="P314" s="692">
        <v>1587.5741723551923</v>
      </c>
      <c r="Q314" s="692">
        <v>1587.5741723551923</v>
      </c>
      <c r="R314" s="692">
        <v>1587.5741723551923</v>
      </c>
      <c r="S314" s="692">
        <v>1587.5741723551923</v>
      </c>
      <c r="T314" s="692">
        <v>1587.5741723551923</v>
      </c>
      <c r="U314" s="692">
        <v>1587.5741723551923</v>
      </c>
      <c r="V314" s="692">
        <v>2146.6405726737003</v>
      </c>
      <c r="W314" s="692">
        <v>2146.6405726737003</v>
      </c>
      <c r="X314" s="692">
        <v>2146.6405726737003</v>
      </c>
      <c r="Y314" s="692">
        <v>2146.6405726737003</v>
      </c>
      <c r="Z314" s="692">
        <v>2146.6405726737003</v>
      </c>
      <c r="AA314" s="692">
        <v>2146.6405726737003</v>
      </c>
      <c r="AB314" s="692">
        <v>2146.6405726737003</v>
      </c>
      <c r="AC314" s="692">
        <v>1262.8430916461757</v>
      </c>
      <c r="AD314" s="692">
        <v>2145.6305590630468</v>
      </c>
      <c r="AE314" s="692">
        <v>2145.6305590630468</v>
      </c>
      <c r="AF314" s="692">
        <v>2145.6305590630468</v>
      </c>
      <c r="AG314" s="692">
        <v>2145.6305590630468</v>
      </c>
      <c r="AH314" s="692">
        <v>2145.6305590630468</v>
      </c>
      <c r="AI314" s="692">
        <v>1392.8998711034199</v>
      </c>
      <c r="AJ314" s="692">
        <v>1236.9614536896559</v>
      </c>
      <c r="AK314" s="692">
        <v>1256.8950401479344</v>
      </c>
      <c r="AL314" s="692">
        <v>1262.8430916461757</v>
      </c>
      <c r="AM314" s="692">
        <v>1262.8430916461757</v>
      </c>
      <c r="AN314" s="689">
        <v>1262.8430916461757</v>
      </c>
    </row>
    <row r="315" spans="1:40" x14ac:dyDescent="0.25">
      <c r="A315" s="708" t="s">
        <v>252</v>
      </c>
      <c r="B315" s="717" t="s">
        <v>2550</v>
      </c>
      <c r="C315" s="692">
        <v>185.16034223074257</v>
      </c>
      <c r="D315" s="692">
        <v>92.655087915551007</v>
      </c>
      <c r="E315" s="692">
        <v>75.835950767334339</v>
      </c>
      <c r="F315" s="692">
        <v>97.209072521560245</v>
      </c>
      <c r="G315" s="692">
        <v>39.642525960594668</v>
      </c>
      <c r="H315" s="692">
        <v>23.44789354289086</v>
      </c>
      <c r="I315" s="692">
        <v>57.362482564156139</v>
      </c>
      <c r="J315" s="692">
        <v>37.972158313474935</v>
      </c>
      <c r="K315" s="692">
        <v>22.459898912929969</v>
      </c>
      <c r="L315" s="692">
        <v>18.581834062793728</v>
      </c>
      <c r="M315" s="692">
        <v>5.2750000000000004</v>
      </c>
      <c r="N315" s="692">
        <v>18.581834062793728</v>
      </c>
      <c r="O315" s="692">
        <v>75.43184293326415</v>
      </c>
      <c r="P315" s="692">
        <v>18.581834062793728</v>
      </c>
      <c r="Q315" s="692">
        <v>18.581834062793728</v>
      </c>
      <c r="R315" s="692">
        <v>18.935026222154324</v>
      </c>
      <c r="S315" s="692">
        <v>18.581834062793728</v>
      </c>
      <c r="T315" s="692">
        <v>18.581834062793728</v>
      </c>
      <c r="U315" s="692">
        <v>18.581834062793728</v>
      </c>
      <c r="V315" s="692">
        <v>0</v>
      </c>
      <c r="W315" s="692">
        <v>0</v>
      </c>
      <c r="X315" s="692">
        <v>0</v>
      </c>
      <c r="Y315" s="692">
        <v>0</v>
      </c>
      <c r="Z315" s="692">
        <v>0</v>
      </c>
      <c r="AA315" s="692">
        <v>0</v>
      </c>
      <c r="AB315" s="692">
        <v>0</v>
      </c>
      <c r="AC315" s="692">
        <v>18.581834062793728</v>
      </c>
      <c r="AD315" s="692">
        <v>0</v>
      </c>
      <c r="AE315" s="692">
        <v>0</v>
      </c>
      <c r="AF315" s="692">
        <v>0</v>
      </c>
      <c r="AG315" s="692">
        <v>0</v>
      </c>
      <c r="AH315" s="692">
        <v>0</v>
      </c>
      <c r="AI315" s="692">
        <v>186.90533356705214</v>
      </c>
      <c r="AJ315" s="692">
        <v>82.885592766221009</v>
      </c>
      <c r="AK315" s="692">
        <v>78.243849967299695</v>
      </c>
      <c r="AL315" s="692">
        <v>18.581834062793728</v>
      </c>
      <c r="AM315" s="692">
        <v>18.581834062793728</v>
      </c>
      <c r="AN315" s="689">
        <v>18.581834062793728</v>
      </c>
    </row>
    <row r="316" spans="1:40" x14ac:dyDescent="0.25">
      <c r="A316" s="708" t="s">
        <v>253</v>
      </c>
      <c r="B316" s="717" t="s">
        <v>2550</v>
      </c>
      <c r="C316" s="692">
        <v>170.34751485228318</v>
      </c>
      <c r="D316" s="692">
        <v>85.242680882306928</v>
      </c>
      <c r="E316" s="692">
        <v>69.769074705947602</v>
      </c>
      <c r="F316" s="692">
        <v>89.432346719835436</v>
      </c>
      <c r="G316" s="692">
        <v>36.471123883747097</v>
      </c>
      <c r="H316" s="692">
        <v>21.572062059459597</v>
      </c>
      <c r="I316" s="692">
        <v>52.77348395902365</v>
      </c>
      <c r="J316" s="692">
        <v>34.934385648396933</v>
      </c>
      <c r="K316" s="692">
        <v>20.663106999895572</v>
      </c>
      <c r="L316" s="692">
        <v>17.09528733777023</v>
      </c>
      <c r="M316" s="692">
        <v>4.8530000000000006</v>
      </c>
      <c r="N316" s="692">
        <v>17.09528733777023</v>
      </c>
      <c r="O316" s="692">
        <v>69.397295498603</v>
      </c>
      <c r="P316" s="692">
        <v>17.09528733777023</v>
      </c>
      <c r="Q316" s="692">
        <v>17.09528733777023</v>
      </c>
      <c r="R316" s="692">
        <v>17.420224124381978</v>
      </c>
      <c r="S316" s="692">
        <v>17.09528733777023</v>
      </c>
      <c r="T316" s="692">
        <v>17.09528733777023</v>
      </c>
      <c r="U316" s="692">
        <v>17.09528733777023</v>
      </c>
      <c r="V316" s="692">
        <v>0</v>
      </c>
      <c r="W316" s="692">
        <v>0</v>
      </c>
      <c r="X316" s="692">
        <v>0</v>
      </c>
      <c r="Y316" s="692">
        <v>0</v>
      </c>
      <c r="Z316" s="692">
        <v>0</v>
      </c>
      <c r="AA316" s="692">
        <v>0</v>
      </c>
      <c r="AB316" s="692">
        <v>0</v>
      </c>
      <c r="AC316" s="692">
        <v>17.09528733777023</v>
      </c>
      <c r="AD316" s="692">
        <v>0</v>
      </c>
      <c r="AE316" s="692">
        <v>0</v>
      </c>
      <c r="AF316" s="692">
        <v>0</v>
      </c>
      <c r="AG316" s="692">
        <v>0</v>
      </c>
      <c r="AH316" s="692">
        <v>0</v>
      </c>
      <c r="AI316" s="692">
        <v>171.95290688168797</v>
      </c>
      <c r="AJ316" s="692">
        <v>76.254745344923322</v>
      </c>
      <c r="AK316" s="692">
        <v>71.984341969915718</v>
      </c>
      <c r="AL316" s="692">
        <v>17.09528733777023</v>
      </c>
      <c r="AM316" s="692">
        <v>17.09528733777023</v>
      </c>
      <c r="AN316" s="689">
        <v>17.09528733777023</v>
      </c>
    </row>
    <row r="317" spans="1:40" x14ac:dyDescent="0.25">
      <c r="A317" s="708" t="s">
        <v>898</v>
      </c>
      <c r="B317" s="717" t="s">
        <v>2550</v>
      </c>
      <c r="C317" s="692">
        <v>1411.1281730732978</v>
      </c>
      <c r="D317" s="692">
        <v>261.32003205061079</v>
      </c>
      <c r="E317" s="692">
        <v>52.264006410122157</v>
      </c>
      <c r="F317" s="692">
        <v>967.14921538353599</v>
      </c>
      <c r="G317" s="692">
        <v>251.61706127659122</v>
      </c>
      <c r="H317" s="692">
        <v>50.323412255318225</v>
      </c>
      <c r="I317" s="692">
        <v>482.02997430906981</v>
      </c>
      <c r="J317" s="692">
        <v>241.01498715453491</v>
      </c>
      <c r="K317" s="692">
        <v>48.202997430906976</v>
      </c>
      <c r="L317" s="692">
        <v>0</v>
      </c>
      <c r="M317" s="692">
        <v>0</v>
      </c>
      <c r="N317" s="692">
        <v>0</v>
      </c>
      <c r="O317" s="692">
        <v>706.62583980101647</v>
      </c>
      <c r="P317" s="692">
        <v>0</v>
      </c>
      <c r="Q317" s="692">
        <v>0</v>
      </c>
      <c r="R317" s="692">
        <v>4.390055712883977</v>
      </c>
      <c r="S317" s="692">
        <v>0</v>
      </c>
      <c r="T317" s="692">
        <v>0</v>
      </c>
      <c r="U317" s="692">
        <v>0</v>
      </c>
      <c r="V317" s="692">
        <v>48.010699892561107</v>
      </c>
      <c r="W317" s="692">
        <v>48.010699892561107</v>
      </c>
      <c r="X317" s="692">
        <v>48.010699892561107</v>
      </c>
      <c r="Y317" s="692">
        <v>48.010699892561107</v>
      </c>
      <c r="Z317" s="692">
        <v>48.010699892561107</v>
      </c>
      <c r="AA317" s="692">
        <v>48.010699892561107</v>
      </c>
      <c r="AB317" s="692">
        <v>48.010699892561107</v>
      </c>
      <c r="AC317" s="692">
        <v>0</v>
      </c>
      <c r="AD317" s="692">
        <v>47.988110428369566</v>
      </c>
      <c r="AE317" s="692">
        <v>47.988110428369566</v>
      </c>
      <c r="AF317" s="692">
        <v>47.988110428369566</v>
      </c>
      <c r="AG317" s="692">
        <v>47.988110428369566</v>
      </c>
      <c r="AH317" s="692">
        <v>47.988110428369566</v>
      </c>
      <c r="AI317" s="692">
        <v>100.28322042145258</v>
      </c>
      <c r="AJ317" s="692">
        <v>186.66405510439742</v>
      </c>
      <c r="AK317" s="692">
        <v>115.37462691306115</v>
      </c>
      <c r="AL317" s="692">
        <v>0</v>
      </c>
      <c r="AM317" s="692">
        <v>0</v>
      </c>
      <c r="AN317" s="689">
        <v>0</v>
      </c>
    </row>
    <row r="318" spans="1:40" x14ac:dyDescent="0.25">
      <c r="A318" s="708" t="s">
        <v>899</v>
      </c>
      <c r="B318" s="717" t="s">
        <v>2550</v>
      </c>
      <c r="C318" s="692">
        <v>25.55212722784248</v>
      </c>
      <c r="D318" s="692">
        <v>12.786402132346037</v>
      </c>
      <c r="E318" s="692">
        <v>10.465361205892139</v>
      </c>
      <c r="F318" s="692">
        <v>13.414852007975316</v>
      </c>
      <c r="G318" s="692">
        <v>5.4706685825620651</v>
      </c>
      <c r="H318" s="692">
        <v>3.235809308918939</v>
      </c>
      <c r="I318" s="692">
        <v>7.9160225938535485</v>
      </c>
      <c r="J318" s="692">
        <v>5.2401578472595407</v>
      </c>
      <c r="K318" s="692">
        <v>3.0994660499843358</v>
      </c>
      <c r="L318" s="692">
        <v>2.5642931006655352</v>
      </c>
      <c r="M318" s="692">
        <v>0.57045620920512885</v>
      </c>
      <c r="N318" s="692">
        <v>2.5642931006655352</v>
      </c>
      <c r="O318" s="692">
        <v>10.409594324790451</v>
      </c>
      <c r="P318" s="692">
        <v>2.5642931006655352</v>
      </c>
      <c r="Q318" s="692">
        <v>2.5642931006655352</v>
      </c>
      <c r="R318" s="692">
        <v>2.6130336186572962</v>
      </c>
      <c r="S318" s="692">
        <v>2.5642931006655352</v>
      </c>
      <c r="T318" s="692">
        <v>2.5642931006655352</v>
      </c>
      <c r="U318" s="692">
        <v>2.5642931006655352</v>
      </c>
      <c r="V318" s="692">
        <v>0</v>
      </c>
      <c r="W318" s="692">
        <v>0</v>
      </c>
      <c r="X318" s="692">
        <v>0</v>
      </c>
      <c r="Y318" s="692">
        <v>0</v>
      </c>
      <c r="Z318" s="692">
        <v>0</v>
      </c>
      <c r="AA318" s="692">
        <v>0</v>
      </c>
      <c r="AB318" s="692">
        <v>0</v>
      </c>
      <c r="AC318" s="692">
        <v>2.5642931006655352</v>
      </c>
      <c r="AD318" s="692">
        <v>0</v>
      </c>
      <c r="AE318" s="692">
        <v>0</v>
      </c>
      <c r="AF318" s="692">
        <v>0</v>
      </c>
      <c r="AG318" s="692">
        <v>0</v>
      </c>
      <c r="AH318" s="692">
        <v>0</v>
      </c>
      <c r="AI318" s="692">
        <v>25.792936032253195</v>
      </c>
      <c r="AJ318" s="692">
        <v>11.438211801738499</v>
      </c>
      <c r="AK318" s="692">
        <v>10.797651295487357</v>
      </c>
      <c r="AL318" s="692">
        <v>2.5642931006655352</v>
      </c>
      <c r="AM318" s="692">
        <v>2.5642931006655352</v>
      </c>
      <c r="AN318" s="689">
        <v>2.5642931006655352</v>
      </c>
    </row>
    <row r="319" spans="1:40" x14ac:dyDescent="0.25">
      <c r="A319" s="708" t="s">
        <v>900</v>
      </c>
      <c r="B319" s="717" t="s">
        <v>2550</v>
      </c>
      <c r="C319" s="692">
        <v>66.435530792390438</v>
      </c>
      <c r="D319" s="692">
        <v>33.244645544099704</v>
      </c>
      <c r="E319" s="692">
        <v>27.209939135319566</v>
      </c>
      <c r="F319" s="692">
        <v>34.878615220735817</v>
      </c>
      <c r="G319" s="692">
        <v>14.223738314661368</v>
      </c>
      <c r="H319" s="692">
        <v>8.4131042031892402</v>
      </c>
      <c r="I319" s="692">
        <v>20.581658744019222</v>
      </c>
      <c r="J319" s="692">
        <v>13.624410402874805</v>
      </c>
      <c r="K319" s="692">
        <v>8.0586117299592743</v>
      </c>
      <c r="L319" s="692">
        <v>6.6671620617303908</v>
      </c>
      <c r="M319" s="692">
        <v>1.4831861439333349</v>
      </c>
      <c r="N319" s="692">
        <v>6.6671620617303908</v>
      </c>
      <c r="O319" s="692">
        <v>27.064945244455174</v>
      </c>
      <c r="P319" s="692">
        <v>6.6671620617303908</v>
      </c>
      <c r="Q319" s="692">
        <v>6.6671620617303908</v>
      </c>
      <c r="R319" s="692">
        <v>6.7938874085089704</v>
      </c>
      <c r="S319" s="692">
        <v>6.6671620617303908</v>
      </c>
      <c r="T319" s="692">
        <v>6.6671620617303908</v>
      </c>
      <c r="U319" s="692">
        <v>6.6671620617303908</v>
      </c>
      <c r="V319" s="692">
        <v>0</v>
      </c>
      <c r="W319" s="692">
        <v>0</v>
      </c>
      <c r="X319" s="692">
        <v>0</v>
      </c>
      <c r="Y319" s="692">
        <v>0</v>
      </c>
      <c r="Z319" s="692">
        <v>0</v>
      </c>
      <c r="AA319" s="692">
        <v>0</v>
      </c>
      <c r="AB319" s="692">
        <v>0</v>
      </c>
      <c r="AC319" s="692">
        <v>6.6671620617303908</v>
      </c>
      <c r="AD319" s="692">
        <v>0</v>
      </c>
      <c r="AE319" s="692">
        <v>0</v>
      </c>
      <c r="AF319" s="692">
        <v>0</v>
      </c>
      <c r="AG319" s="692">
        <v>0</v>
      </c>
      <c r="AH319" s="692">
        <v>0</v>
      </c>
      <c r="AI319" s="692">
        <v>67.061633683858304</v>
      </c>
      <c r="AJ319" s="692">
        <v>29.73935068452009</v>
      </c>
      <c r="AK319" s="692">
        <v>28.073893368267132</v>
      </c>
      <c r="AL319" s="692">
        <v>6.6671620617303908</v>
      </c>
      <c r="AM319" s="692">
        <v>6.6671620617303908</v>
      </c>
      <c r="AN319" s="689">
        <v>6.6671620617303908</v>
      </c>
    </row>
    <row r="320" spans="1:40" x14ac:dyDescent="0.25">
      <c r="A320" s="708" t="s">
        <v>14</v>
      </c>
      <c r="B320" s="717" t="s">
        <v>2550</v>
      </c>
      <c r="C320" s="692">
        <v>1.2433807755646622</v>
      </c>
      <c r="D320" s="692">
        <v>1.2433807755646622</v>
      </c>
      <c r="E320" s="692">
        <v>1.2433807755646622</v>
      </c>
      <c r="F320" s="692">
        <v>1.255613944237211</v>
      </c>
      <c r="G320" s="692">
        <v>1.255613944237211</v>
      </c>
      <c r="H320" s="692">
        <v>1.255613944237211</v>
      </c>
      <c r="I320" s="692">
        <v>1.2027077063296914</v>
      </c>
      <c r="J320" s="692">
        <v>1.2027077063296914</v>
      </c>
      <c r="K320" s="692">
        <v>1.2027077063296914</v>
      </c>
      <c r="L320" s="692">
        <v>1.2027077063296914</v>
      </c>
      <c r="M320" s="692">
        <v>659.41</v>
      </c>
      <c r="N320" s="692">
        <v>1.2027077063296914</v>
      </c>
      <c r="O320" s="692">
        <v>1.2027077063296914</v>
      </c>
      <c r="P320" s="692">
        <v>1.2027077063296914</v>
      </c>
      <c r="Q320" s="692">
        <v>1.2027077063296914</v>
      </c>
      <c r="R320" s="692">
        <v>1.2027077063296914</v>
      </c>
      <c r="S320" s="692">
        <v>1.2027077063296914</v>
      </c>
      <c r="T320" s="692">
        <v>1.2027077063296914</v>
      </c>
      <c r="U320" s="692">
        <v>1.2027077063296914</v>
      </c>
      <c r="V320" s="692">
        <v>0</v>
      </c>
      <c r="W320" s="692">
        <v>0</v>
      </c>
      <c r="X320" s="692">
        <v>0</v>
      </c>
      <c r="Y320" s="692">
        <v>0</v>
      </c>
      <c r="Z320" s="692">
        <v>0</v>
      </c>
      <c r="AA320" s="692">
        <v>0</v>
      </c>
      <c r="AB320" s="692">
        <v>0</v>
      </c>
      <c r="AC320" s="692">
        <v>1.2027077063296914</v>
      </c>
      <c r="AD320" s="692">
        <v>0</v>
      </c>
      <c r="AE320" s="692">
        <v>0</v>
      </c>
      <c r="AF320" s="692">
        <v>0</v>
      </c>
      <c r="AG320" s="692">
        <v>0</v>
      </c>
      <c r="AH320" s="692">
        <v>0</v>
      </c>
      <c r="AI320" s="692">
        <v>1.2436605991994822</v>
      </c>
      <c r="AJ320" s="692">
        <v>1.178058527323482</v>
      </c>
      <c r="AK320" s="692">
        <v>1.1970428953789851</v>
      </c>
      <c r="AL320" s="692">
        <v>1.2027077063296914</v>
      </c>
      <c r="AM320" s="692">
        <v>1.2027077063296914</v>
      </c>
      <c r="AN320" s="689">
        <v>1.2027077063296914</v>
      </c>
    </row>
    <row r="321" spans="1:40" x14ac:dyDescent="0.25">
      <c r="A321" s="708" t="s">
        <v>10</v>
      </c>
      <c r="B321" s="717" t="s">
        <v>2550</v>
      </c>
      <c r="C321" s="692">
        <v>4.2274946369198521</v>
      </c>
      <c r="D321" s="692">
        <v>4.2274946369198521</v>
      </c>
      <c r="E321" s="692">
        <v>4.2274946369198521</v>
      </c>
      <c r="F321" s="692">
        <v>4.2690874104065166</v>
      </c>
      <c r="G321" s="692">
        <v>4.2690874104065166</v>
      </c>
      <c r="H321" s="692">
        <v>4.2690874104065166</v>
      </c>
      <c r="I321" s="692">
        <v>4.0892062015209509</v>
      </c>
      <c r="J321" s="692">
        <v>4.0892062015209509</v>
      </c>
      <c r="K321" s="692">
        <v>4.0892062015209509</v>
      </c>
      <c r="L321" s="692">
        <v>4.0892062015209509</v>
      </c>
      <c r="M321" s="692">
        <v>2</v>
      </c>
      <c r="N321" s="692">
        <v>4.0892062015209509</v>
      </c>
      <c r="O321" s="692">
        <v>4.0892062015209509</v>
      </c>
      <c r="P321" s="692">
        <v>4.0892062015209509</v>
      </c>
      <c r="Q321" s="692">
        <v>4.0892062015209509</v>
      </c>
      <c r="R321" s="692">
        <v>4.0892062015209509</v>
      </c>
      <c r="S321" s="692">
        <v>4.0892062015209509</v>
      </c>
      <c r="T321" s="692">
        <v>4.0892062015209509</v>
      </c>
      <c r="U321" s="692">
        <v>4.0892062015209509</v>
      </c>
      <c r="V321" s="692">
        <v>0</v>
      </c>
      <c r="W321" s="692">
        <v>0</v>
      </c>
      <c r="X321" s="692">
        <v>0</v>
      </c>
      <c r="Y321" s="692">
        <v>0</v>
      </c>
      <c r="Z321" s="692">
        <v>0</v>
      </c>
      <c r="AA321" s="692">
        <v>0</v>
      </c>
      <c r="AB321" s="692">
        <v>0</v>
      </c>
      <c r="AC321" s="692">
        <v>4.0892062015209509</v>
      </c>
      <c r="AD321" s="692">
        <v>0</v>
      </c>
      <c r="AE321" s="692">
        <v>0</v>
      </c>
      <c r="AF321" s="692">
        <v>0</v>
      </c>
      <c r="AG321" s="692">
        <v>0</v>
      </c>
      <c r="AH321" s="692">
        <v>0</v>
      </c>
      <c r="AI321" s="692">
        <v>4.22844603727824</v>
      </c>
      <c r="AJ321" s="692">
        <v>4.0053989928998384</v>
      </c>
      <c r="AK321" s="692">
        <v>4.069945844288549</v>
      </c>
      <c r="AL321" s="692">
        <v>4.0892062015209509</v>
      </c>
      <c r="AM321" s="692">
        <v>4.0892062015209509</v>
      </c>
      <c r="AN321" s="689">
        <v>4.0892062015209509</v>
      </c>
    </row>
    <row r="322" spans="1:40" x14ac:dyDescent="0.25">
      <c r="A322" s="708" t="s">
        <v>8</v>
      </c>
      <c r="B322" s="717" t="s">
        <v>2550</v>
      </c>
      <c r="C322" s="692">
        <v>84669.124073482439</v>
      </c>
      <c r="D322" s="692">
        <v>84669.124073482439</v>
      </c>
      <c r="E322" s="692">
        <v>84669.124073482439</v>
      </c>
      <c r="F322" s="692">
        <v>81376.351251730244</v>
      </c>
      <c r="G322" s="692">
        <v>81376.351251730244</v>
      </c>
      <c r="H322" s="692">
        <v>81376.351251730244</v>
      </c>
      <c r="I322" s="692">
        <v>77800.426794230705</v>
      </c>
      <c r="J322" s="692">
        <v>77800.426794230705</v>
      </c>
      <c r="K322" s="692">
        <v>77800.426794230705</v>
      </c>
      <c r="L322" s="692">
        <v>75902.581499718377</v>
      </c>
      <c r="M322" s="692">
        <v>57375.382645353529</v>
      </c>
      <c r="N322" s="692">
        <v>75902.581499718377</v>
      </c>
      <c r="O322" s="692">
        <v>76215.90060982728</v>
      </c>
      <c r="P322" s="692">
        <v>75902.581499718377</v>
      </c>
      <c r="Q322" s="692">
        <v>80715.882882945632</v>
      </c>
      <c r="R322" s="692">
        <v>105753.06902516889</v>
      </c>
      <c r="S322" s="692">
        <v>75902.581499718377</v>
      </c>
      <c r="T322" s="692">
        <v>76215.90060982728</v>
      </c>
      <c r="U322" s="692">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7">
        <v>89407.39209245106</v>
      </c>
    </row>
    <row r="323" spans="1:40" x14ac:dyDescent="0.25">
      <c r="A323" s="708" t="s">
        <v>2353</v>
      </c>
      <c r="B323" s="717" t="s">
        <v>2550</v>
      </c>
      <c r="C323" s="692">
        <v>85077.811492688881</v>
      </c>
      <c r="D323" s="692">
        <v>85077.811492688881</v>
      </c>
      <c r="E323" s="692">
        <v>85077.811492688881</v>
      </c>
      <c r="F323" s="692">
        <v>81789.059596972977</v>
      </c>
      <c r="G323" s="692">
        <v>81789.059596972977</v>
      </c>
      <c r="H323" s="692">
        <v>81789.059596972977</v>
      </c>
      <c r="I323" s="692">
        <v>78195.745362942165</v>
      </c>
      <c r="J323" s="692">
        <v>78195.745362942165</v>
      </c>
      <c r="K323" s="692">
        <v>78195.745362942165</v>
      </c>
      <c r="L323" s="692">
        <v>76297.900068429837</v>
      </c>
      <c r="M323" s="692">
        <v>57846.017574946476</v>
      </c>
      <c r="N323" s="692">
        <v>76297.900068429837</v>
      </c>
      <c r="O323" s="692">
        <v>76611.21917853874</v>
      </c>
      <c r="P323" s="692">
        <v>76297.900068429837</v>
      </c>
      <c r="Q323" s="692">
        <v>81111.201451657093</v>
      </c>
      <c r="R323" s="692">
        <v>106148.38759388035</v>
      </c>
      <c r="S323" s="692">
        <v>76297.900068429837</v>
      </c>
      <c r="T323" s="692">
        <v>76611.21917853874</v>
      </c>
      <c r="U323" s="692">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7">
        <v>89802.71066116252</v>
      </c>
    </row>
    <row r="324" spans="1:40" x14ac:dyDescent="0.25">
      <c r="A324" s="711" t="s">
        <v>897</v>
      </c>
      <c r="B324" s="720" t="s">
        <v>2551</v>
      </c>
      <c r="C324" s="700">
        <v>86268.970275679821</v>
      </c>
      <c r="D324" s="700">
        <v>86268.970275679821</v>
      </c>
      <c r="E324" s="700">
        <v>86268.970275679821</v>
      </c>
      <c r="F324" s="700">
        <v>82991.937755552222</v>
      </c>
      <c r="G324" s="700">
        <v>82991.937755552222</v>
      </c>
      <c r="H324" s="700">
        <v>82991.937755552222</v>
      </c>
      <c r="I324" s="700">
        <v>79347.939345606006</v>
      </c>
      <c r="J324" s="700">
        <v>79347.939345606006</v>
      </c>
      <c r="K324" s="700">
        <v>79347.939345606006</v>
      </c>
      <c r="L324" s="700">
        <v>77450.094051093678</v>
      </c>
      <c r="M324" s="700">
        <v>78042.435574946474</v>
      </c>
      <c r="N324" s="700">
        <v>77450.094051093678</v>
      </c>
      <c r="O324" s="700">
        <v>77763.413161202581</v>
      </c>
      <c r="P324" s="700">
        <v>77450.094051093678</v>
      </c>
      <c r="Q324" s="700">
        <v>82263.395434320933</v>
      </c>
      <c r="R324" s="700">
        <v>107300.58157654419</v>
      </c>
      <c r="S324" s="700">
        <v>77450.094051093678</v>
      </c>
      <c r="T324" s="700">
        <v>77763.413161202581</v>
      </c>
      <c r="U324" s="700">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1">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1" t="s">
        <v>2320</v>
      </c>
      <c r="B1" s="70"/>
      <c r="C1" s="70"/>
      <c r="D1" s="70"/>
      <c r="E1" s="70"/>
      <c r="F1" s="70"/>
      <c r="G1" s="70"/>
      <c r="H1" s="70"/>
      <c r="I1" s="70"/>
      <c r="J1" s="70"/>
      <c r="K1" s="70"/>
      <c r="L1" s="70"/>
      <c r="M1" s="1172" t="s">
        <v>2701</v>
      </c>
      <c r="N1" s="1172"/>
      <c r="O1" s="1172"/>
      <c r="P1" s="1172"/>
      <c r="Q1" s="960"/>
      <c r="R1" s="285" t="s">
        <v>2321</v>
      </c>
    </row>
    <row r="2" spans="1:34" ht="15.75" x14ac:dyDescent="0.25">
      <c r="A2" s="1173" t="s">
        <v>597</v>
      </c>
      <c r="B2" s="1174"/>
      <c r="C2" s="1174"/>
      <c r="D2" s="1174"/>
      <c r="E2" s="1174"/>
      <c r="F2" s="1174"/>
      <c r="G2" s="1174"/>
      <c r="H2" s="1174"/>
      <c r="I2" s="1174"/>
      <c r="J2" s="1174"/>
      <c r="M2" s="1172"/>
      <c r="N2" s="1172"/>
      <c r="O2" s="1172"/>
      <c r="P2" s="1172"/>
      <c r="Q2" s="960"/>
      <c r="R2" s="1175" t="s">
        <v>980</v>
      </c>
      <c r="S2" s="1059"/>
      <c r="T2" s="1059"/>
      <c r="U2" s="1059"/>
      <c r="V2" s="1059"/>
      <c r="W2" s="1059"/>
      <c r="X2" s="1059"/>
      <c r="Y2" s="1059"/>
      <c r="AA2" s="1059" t="s">
        <v>990</v>
      </c>
      <c r="AB2" s="1059"/>
      <c r="AC2" s="1059"/>
      <c r="AD2" s="1059"/>
      <c r="AE2" s="1059"/>
      <c r="AF2" s="1059"/>
      <c r="AG2" s="1059"/>
      <c r="AH2" s="1059"/>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72"/>
      <c r="N3" s="1172"/>
      <c r="O3" s="1172"/>
      <c r="P3" s="1172"/>
      <c r="Q3" s="960"/>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72"/>
      <c r="N4" s="1172"/>
      <c r="O4" s="1172"/>
      <c r="P4" s="1172"/>
      <c r="Q4" s="960"/>
      <c r="R4" s="28" t="s">
        <v>982</v>
      </c>
      <c r="AA4" s="28" t="s">
        <v>982</v>
      </c>
    </row>
    <row r="5" spans="1:34" ht="15.75" thickTop="1" x14ac:dyDescent="0.25">
      <c r="A5" s="129" t="s">
        <v>306</v>
      </c>
      <c r="B5" s="130" t="s">
        <v>307</v>
      </c>
      <c r="C5" s="130" t="s">
        <v>308</v>
      </c>
      <c r="D5" s="130" t="s">
        <v>309</v>
      </c>
      <c r="E5" s="130"/>
      <c r="F5" s="131"/>
      <c r="G5" s="132">
        <v>12.5</v>
      </c>
      <c r="H5" s="130"/>
      <c r="I5" s="755">
        <v>7.4625760131172711</v>
      </c>
      <c r="J5" s="134">
        <v>0.4376230344297341</v>
      </c>
      <c r="M5" s="1172"/>
      <c r="N5" s="1172"/>
      <c r="O5" s="1172"/>
      <c r="P5" s="1172"/>
      <c r="Q5" s="960"/>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5">
        <v>814.53238577880768</v>
      </c>
      <c r="I6" s="755">
        <v>7.4625760131172711</v>
      </c>
      <c r="J6" s="134">
        <v>0.451476368560703</v>
      </c>
      <c r="K6" s="136">
        <f>J6/J$7-1</f>
        <v>5.699999999999994E-2</v>
      </c>
      <c r="L6" t="s">
        <v>313</v>
      </c>
      <c r="M6" s="1172"/>
      <c r="N6" s="1172"/>
      <c r="O6" s="1172"/>
      <c r="P6" s="1172"/>
      <c r="Q6" s="960"/>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5">
        <v>814.53238577880768</v>
      </c>
      <c r="I7" s="755">
        <v>7.4625760131172711</v>
      </c>
      <c r="J7" s="134">
        <v>0.42712996079536708</v>
      </c>
      <c r="K7" s="136">
        <f>J7/J$8-1</f>
        <v>-9.6499526963103155E-2</v>
      </c>
      <c r="L7" t="s">
        <v>318</v>
      </c>
      <c r="M7" s="1172"/>
      <c r="N7" s="1172"/>
      <c r="O7" s="1172"/>
      <c r="P7" s="1172"/>
      <c r="Q7" s="960"/>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5">
        <v>820.68444307320954</v>
      </c>
      <c r="I8" s="755">
        <v>7.4625760131172711</v>
      </c>
      <c r="J8" s="134">
        <v>0.47275012414733303</v>
      </c>
      <c r="K8" s="136">
        <f t="shared" ref="K8:K15" si="1">J8/J$8-1</f>
        <v>0</v>
      </c>
      <c r="M8" s="1172"/>
      <c r="N8" s="1172"/>
      <c r="O8" s="1172"/>
      <c r="P8" s="1172"/>
      <c r="Q8" s="960"/>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5">
        <v>815.46191019484638</v>
      </c>
      <c r="I10" s="755">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5">
        <v>1127.6930582784942</v>
      </c>
      <c r="I11" s="755">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5">
        <v>895.98562435668828</v>
      </c>
      <c r="I12" s="755">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5">
        <v>929.61720101077276</v>
      </c>
      <c r="I14" s="755">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70" t="s">
        <v>344</v>
      </c>
      <c r="B18" s="1171"/>
      <c r="C18" s="1171"/>
      <c r="D18" s="1171"/>
      <c r="E18" s="1171"/>
      <c r="F18" s="1171"/>
      <c r="G18" s="1171"/>
      <c r="H18" s="1171"/>
      <c r="I18" s="1171"/>
      <c r="J18" s="1171"/>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70" t="s">
        <v>596</v>
      </c>
      <c r="B30" s="1171"/>
      <c r="C30" s="1171"/>
      <c r="D30" s="1171"/>
      <c r="E30" s="1171"/>
      <c r="F30" s="1171"/>
      <c r="G30" s="1171"/>
      <c r="H30" s="1171"/>
      <c r="I30" s="1171"/>
      <c r="J30" s="1171"/>
      <c r="R30" s="1175" t="s">
        <v>1620</v>
      </c>
      <c r="S30" s="1059"/>
      <c r="T30" s="1059"/>
      <c r="U30" s="1059"/>
      <c r="V30" s="1059"/>
      <c r="W30" s="1059"/>
      <c r="X30" s="1059"/>
      <c r="Y30" s="1059"/>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76" t="s">
        <v>1874</v>
      </c>
      <c r="AB47" s="1176"/>
      <c r="AC47" s="1176"/>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76"/>
      <c r="AB48" s="1176"/>
      <c r="AC48" s="1176"/>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76"/>
      <c r="AB49" s="1176"/>
      <c r="AC49" s="1176"/>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76"/>
      <c r="AB50" s="1176"/>
      <c r="AC50" s="1176"/>
    </row>
    <row r="51" spans="1:29" x14ac:dyDescent="0.25">
      <c r="A51" s="129"/>
      <c r="B51" s="130" t="s">
        <v>392</v>
      </c>
      <c r="R51" s="28" t="s">
        <v>1207</v>
      </c>
      <c r="S51" s="305"/>
      <c r="T51" s="305"/>
      <c r="U51" s="305"/>
      <c r="V51" s="305"/>
      <c r="W51" s="305"/>
      <c r="X51" s="305"/>
      <c r="Y51" s="305"/>
      <c r="AA51" s="1176"/>
      <c r="AB51" s="1176"/>
      <c r="AC51" s="1176"/>
    </row>
    <row r="52" spans="1:29" x14ac:dyDescent="0.25">
      <c r="A52" s="129" t="s">
        <v>393</v>
      </c>
      <c r="B52" s="130"/>
      <c r="R52" s="17" t="s">
        <v>1622</v>
      </c>
      <c r="S52" s="305">
        <v>1358.86</v>
      </c>
      <c r="T52" s="305">
        <v>1358.86</v>
      </c>
      <c r="U52" s="305">
        <v>1358.86</v>
      </c>
      <c r="V52" s="305">
        <v>1358.86</v>
      </c>
      <c r="W52" s="305">
        <v>1358.86</v>
      </c>
      <c r="X52" s="305">
        <v>1358.86</v>
      </c>
      <c r="Y52" s="305">
        <v>1358.86</v>
      </c>
      <c r="AA52" s="1176"/>
      <c r="AB52" s="1176"/>
      <c r="AC52" s="1176"/>
    </row>
    <row r="53" spans="1:29" ht="15.75" thickBot="1" x14ac:dyDescent="0.3">
      <c r="A53" s="1170" t="s">
        <v>128</v>
      </c>
      <c r="B53" s="1171"/>
      <c r="C53" s="1171"/>
      <c r="D53" s="1171"/>
      <c r="E53" s="1171"/>
      <c r="F53" s="1171"/>
      <c r="G53" s="1171"/>
      <c r="H53" s="1171"/>
      <c r="I53" s="1171"/>
      <c r="J53" s="1171"/>
      <c r="R53" s="17" t="s">
        <v>1623</v>
      </c>
      <c r="S53" s="305">
        <v>957.62599999999998</v>
      </c>
      <c r="T53" s="305">
        <v>957.62599999999998</v>
      </c>
      <c r="U53" s="305">
        <v>957.62599999999998</v>
      </c>
      <c r="V53" s="305">
        <v>957.62599999999998</v>
      </c>
      <c r="W53" s="305">
        <v>957.62599999999998</v>
      </c>
      <c r="X53" s="305">
        <v>957.62599999999998</v>
      </c>
      <c r="Y53" s="305">
        <v>957.62599999999998</v>
      </c>
      <c r="AA53" s="1176"/>
      <c r="AB53" s="1176"/>
      <c r="AC53" s="1176"/>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1"/>
      <c r="R54" s="61" t="s">
        <v>1631</v>
      </c>
      <c r="AA54" s="1176"/>
      <c r="AB54" s="1176"/>
      <c r="AC54" s="1176"/>
    </row>
    <row r="55" spans="1:29" ht="23.25" x14ac:dyDescent="0.25">
      <c r="A55" s="64"/>
      <c r="C55" s="145"/>
      <c r="D55" s="145"/>
      <c r="E55" s="130"/>
      <c r="F55" s="144"/>
      <c r="G55" s="144"/>
      <c r="H55" s="146" t="s">
        <v>598</v>
      </c>
      <c r="I55" s="146" t="s">
        <v>598</v>
      </c>
      <c r="J55" s="146" t="s">
        <v>305</v>
      </c>
      <c r="K55" s="140"/>
      <c r="L55" s="140"/>
      <c r="M55" s="140"/>
      <c r="N55" s="140"/>
      <c r="O55" s="140"/>
      <c r="P55" s="140"/>
      <c r="Q55" s="962"/>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2"/>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2"/>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2"/>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2"/>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2"/>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2"/>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2"/>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3"/>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3"/>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4"/>
      <c r="F65" s="964"/>
      <c r="G65" s="964"/>
      <c r="H65" s="126"/>
      <c r="I65" s="154" t="s">
        <v>608</v>
      </c>
      <c r="J65" s="126"/>
      <c r="K65" s="126"/>
      <c r="L65" s="126"/>
      <c r="M65" s="126"/>
      <c r="N65" s="126"/>
      <c r="O65" s="126"/>
      <c r="P65" s="126"/>
      <c r="Q65" s="963"/>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2912</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2910</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2911</v>
      </c>
    </row>
    <row r="84" spans="18:33" ht="15.75" thickBot="1" x14ac:dyDescent="0.3">
      <c r="R84" s="88" t="s">
        <v>1905</v>
      </c>
      <c r="S84" s="88">
        <v>2020</v>
      </c>
      <c r="T84" s="88">
        <v>2025</v>
      </c>
      <c r="U84" s="88">
        <v>2030</v>
      </c>
      <c r="V84" s="88">
        <v>2035</v>
      </c>
      <c r="W84" s="88">
        <v>2040</v>
      </c>
      <c r="X84" s="88">
        <v>2045</v>
      </c>
      <c r="Y84" s="88">
        <v>2050</v>
      </c>
    </row>
    <row r="85" spans="18:33" ht="15.75" thickTop="1" x14ac:dyDescent="0.25">
      <c r="R85" t="s">
        <v>2905</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1907</v>
      </c>
      <c r="S86" s="305">
        <v>41.1</v>
      </c>
      <c r="T86" s="305">
        <v>41.1</v>
      </c>
      <c r="U86" s="305">
        <v>41.1</v>
      </c>
      <c r="V86" s="305">
        <v>41.1</v>
      </c>
      <c r="W86" s="305">
        <v>41.1</v>
      </c>
      <c r="X86" s="305">
        <v>41.1</v>
      </c>
      <c r="Y86" s="305">
        <v>41.1</v>
      </c>
    </row>
    <row r="87" spans="18:33" x14ac:dyDescent="0.25">
      <c r="R87" t="s">
        <v>1908</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1909</v>
      </c>
    </row>
    <row r="90" spans="18:33" ht="15.75" x14ac:dyDescent="0.25">
      <c r="R90" s="159" t="s">
        <v>2909</v>
      </c>
      <c r="AA90" s="212" t="s">
        <v>4622</v>
      </c>
    </row>
    <row r="91" spans="18:33" ht="15.75" thickBot="1" x14ac:dyDescent="0.3">
      <c r="R91" s="88" t="s">
        <v>1905</v>
      </c>
      <c r="S91" s="88">
        <v>2020</v>
      </c>
      <c r="T91" s="88">
        <v>2025</v>
      </c>
      <c r="U91" s="88">
        <v>2030</v>
      </c>
      <c r="V91" s="88">
        <v>2035</v>
      </c>
      <c r="W91" s="88">
        <v>2040</v>
      </c>
      <c r="X91" s="88">
        <v>2045</v>
      </c>
      <c r="Y91" s="88">
        <v>2050</v>
      </c>
      <c r="AA91" s="88" t="s">
        <v>92</v>
      </c>
      <c r="AB91" s="88">
        <v>2023</v>
      </c>
      <c r="AC91" s="88">
        <v>2030</v>
      </c>
      <c r="AD91" s="83" t="s">
        <v>4638</v>
      </c>
    </row>
    <row r="92" spans="18:33" ht="15.75" thickTop="1" x14ac:dyDescent="0.25">
      <c r="R92" t="s">
        <v>2905</v>
      </c>
      <c r="S92" s="305">
        <v>5.49</v>
      </c>
      <c r="T92" s="305">
        <v>5.49</v>
      </c>
      <c r="U92" s="305">
        <v>5.49</v>
      </c>
      <c r="V92" s="305">
        <v>5.49</v>
      </c>
      <c r="W92" s="305">
        <v>5.49</v>
      </c>
      <c r="X92" s="305">
        <v>5.49</v>
      </c>
      <c r="Y92" s="305">
        <v>5.49</v>
      </c>
      <c r="AA92" t="s">
        <v>4623</v>
      </c>
      <c r="AB92" s="84">
        <v>0.66</v>
      </c>
      <c r="AC92" s="84">
        <v>0.69</v>
      </c>
      <c r="AD92" s="84">
        <v>0.74</v>
      </c>
    </row>
    <row r="93" spans="18:33" x14ac:dyDescent="0.25">
      <c r="R93" t="s">
        <v>1907</v>
      </c>
      <c r="S93" s="305">
        <v>2.0499999999999998</v>
      </c>
      <c r="T93" s="305">
        <v>2.0499999999999998</v>
      </c>
      <c r="U93" s="305">
        <v>2.0499999999999998</v>
      </c>
      <c r="V93" s="305">
        <v>2.0499999999999998</v>
      </c>
      <c r="W93" s="305">
        <v>2.0499999999999998</v>
      </c>
      <c r="X93" s="305">
        <v>2.0499999999999998</v>
      </c>
      <c r="Y93" s="305">
        <v>2.0499999999999998</v>
      </c>
      <c r="AA93" t="s">
        <v>4624</v>
      </c>
      <c r="AB93" s="957">
        <v>0.76</v>
      </c>
      <c r="AC93" s="957">
        <v>0.76</v>
      </c>
      <c r="AD93" s="957">
        <v>0.76</v>
      </c>
    </row>
    <row r="94" spans="18:33" x14ac:dyDescent="0.25">
      <c r="R94" t="s">
        <v>1908</v>
      </c>
      <c r="S94" s="305">
        <v>1.84</v>
      </c>
      <c r="T94" s="305">
        <v>1.84</v>
      </c>
      <c r="U94" s="305">
        <v>1.84</v>
      </c>
      <c r="V94" s="305">
        <v>1.84</v>
      </c>
      <c r="W94" s="305">
        <v>1.84</v>
      </c>
      <c r="X94" s="305">
        <v>1.84</v>
      </c>
      <c r="Y94" s="305">
        <v>1.84</v>
      </c>
      <c r="AA94" t="s">
        <v>4696</v>
      </c>
      <c r="AB94" s="957">
        <v>0.69</v>
      </c>
      <c r="AC94" s="957">
        <v>0.69</v>
      </c>
      <c r="AD94" s="957">
        <v>0.69</v>
      </c>
    </row>
    <row r="95" spans="18:33" x14ac:dyDescent="0.25">
      <c r="R95" s="61" t="s">
        <v>1909</v>
      </c>
      <c r="AA95" t="s">
        <v>4625</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4626</v>
      </c>
      <c r="AB96" s="979">
        <f>AB93*'Conversion Factors'!$D$14/'Conversion Factors'!$D$13</f>
        <v>0.80792792792792778</v>
      </c>
      <c r="AC96" s="979">
        <f>AC93*'Conversion Factors'!$D$14/'Conversion Factors'!$D$13</f>
        <v>0.80792792792792778</v>
      </c>
      <c r="AD96" s="979">
        <f>AD93*'Conversion Factors'!$D$14/'Conversion Factors'!$D$13</f>
        <v>0.80792792792792778</v>
      </c>
    </row>
    <row r="97" spans="18:30" ht="15.75" x14ac:dyDescent="0.25">
      <c r="R97" s="159" t="s">
        <v>2867</v>
      </c>
      <c r="AA97" t="s">
        <v>4697</v>
      </c>
      <c r="AB97" s="979">
        <f>AB94*'Conversion Factors'!$D$14/'Conversion Factors'!$D$13</f>
        <v>0.73351351351351335</v>
      </c>
      <c r="AC97" s="979">
        <f>AC94*'Conversion Factors'!$D$14/'Conversion Factors'!$D$13</f>
        <v>0.73351351351351335</v>
      </c>
      <c r="AD97" s="979">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2868</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2913</v>
      </c>
      <c r="AA101" s="159" t="s">
        <v>4630</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4638</v>
      </c>
    </row>
    <row r="103" spans="18:30" ht="15.75" thickTop="1" x14ac:dyDescent="0.25">
      <c r="R103" t="s">
        <v>2908</v>
      </c>
      <c r="S103" s="305">
        <v>113.74</v>
      </c>
      <c r="T103" s="305">
        <v>113.74</v>
      </c>
      <c r="U103" s="305">
        <v>113.74</v>
      </c>
      <c r="V103" s="305">
        <v>113.74</v>
      </c>
      <c r="W103" s="305">
        <v>113.74</v>
      </c>
      <c r="X103" s="305">
        <v>113.74</v>
      </c>
      <c r="Y103" s="305">
        <v>113.74</v>
      </c>
      <c r="AA103" t="s">
        <v>4621</v>
      </c>
      <c r="AB103" s="330">
        <v>2160</v>
      </c>
      <c r="AC103" s="330">
        <v>960</v>
      </c>
      <c r="AD103" s="330">
        <v>450</v>
      </c>
    </row>
    <row r="104" spans="18:30" x14ac:dyDescent="0.25">
      <c r="R104" t="s">
        <v>2929</v>
      </c>
      <c r="S104" s="305">
        <v>704.55531440000004</v>
      </c>
      <c r="T104" s="305">
        <v>704.55531440000004</v>
      </c>
      <c r="U104" s="305">
        <v>704.55531440000004</v>
      </c>
      <c r="V104" s="305">
        <v>704.55531440000004</v>
      </c>
      <c r="W104" s="305">
        <v>704.55531440000004</v>
      </c>
      <c r="X104" s="305">
        <v>704.55531440000004</v>
      </c>
      <c r="Y104" s="305">
        <v>704.55531440000004</v>
      </c>
      <c r="AA104" t="s">
        <v>4627</v>
      </c>
      <c r="AB104" s="330">
        <v>720</v>
      </c>
      <c r="AC104" s="330">
        <v>720</v>
      </c>
      <c r="AD104" s="330">
        <v>720</v>
      </c>
    </row>
    <row r="105" spans="18:30" x14ac:dyDescent="0.25">
      <c r="R105" t="s">
        <v>2906</v>
      </c>
      <c r="S105" s="305">
        <v>44.59</v>
      </c>
      <c r="T105" s="305">
        <v>38.15</v>
      </c>
      <c r="U105" s="305">
        <v>32.17</v>
      </c>
      <c r="V105" s="305">
        <v>28.78</v>
      </c>
      <c r="W105" s="305">
        <v>25.5</v>
      </c>
      <c r="X105" s="305">
        <v>22.34</v>
      </c>
      <c r="Y105" s="305">
        <v>19.28</v>
      </c>
      <c r="AA105" t="s">
        <v>4698</v>
      </c>
      <c r="AB105" s="330">
        <v>1420</v>
      </c>
      <c r="AC105" s="330">
        <v>1420</v>
      </c>
      <c r="AD105" s="330">
        <v>1420</v>
      </c>
    </row>
    <row r="106" spans="18:30" x14ac:dyDescent="0.25">
      <c r="R106" t="s">
        <v>2907</v>
      </c>
      <c r="S106" s="305">
        <v>28.86</v>
      </c>
      <c r="T106" s="305">
        <v>28.86</v>
      </c>
      <c r="U106" s="305">
        <v>28.86</v>
      </c>
      <c r="V106" s="305">
        <v>28.86</v>
      </c>
      <c r="W106" s="305">
        <v>28.86</v>
      </c>
      <c r="X106" s="305">
        <v>28.86</v>
      </c>
      <c r="Y106" s="305">
        <v>28.86</v>
      </c>
      <c r="AA106" t="s">
        <v>4629</v>
      </c>
      <c r="AB106" s="330">
        <f>AB103/AB95 * USD2023_to_CAD2020</f>
        <v>3179.4426654888744</v>
      </c>
      <c r="AC106" s="330">
        <f>AC103/AC95 * USD2023_to_CAD2020</f>
        <v>1351.6471234928551</v>
      </c>
      <c r="AD106" s="330">
        <f>AD103/AD95 * USD2017_to_CAD2020</f>
        <v>708.35223228443567</v>
      </c>
    </row>
    <row r="107" spans="18:30" x14ac:dyDescent="0.25">
      <c r="R107" t="s">
        <v>2928</v>
      </c>
      <c r="S107" s="305">
        <v>263.74</v>
      </c>
      <c r="T107" s="305">
        <v>263.74</v>
      </c>
      <c r="U107" s="305">
        <v>263.74</v>
      </c>
      <c r="V107" s="305">
        <v>263.74</v>
      </c>
      <c r="W107" s="305">
        <v>263.74</v>
      </c>
      <c r="X107" s="305">
        <v>263.74</v>
      </c>
      <c r="Y107" s="305">
        <v>263.74</v>
      </c>
      <c r="AA107" t="s">
        <v>4684</v>
      </c>
      <c r="AB107" s="330">
        <f t="shared" ref="AB107:AD108" si="25">AB104/H2_HHV_by_LHV * USD2023_to_CAD2020</f>
        <v>699.47738640755233</v>
      </c>
      <c r="AC107" s="330">
        <f t="shared" si="25"/>
        <v>699.47738640755233</v>
      </c>
      <c r="AD107" s="330">
        <f t="shared" si="25"/>
        <v>699.47738640755233</v>
      </c>
    </row>
    <row r="108" spans="18:30" x14ac:dyDescent="0.25">
      <c r="R108" s="61" t="s">
        <v>2924</v>
      </c>
      <c r="AA108" t="s">
        <v>4699</v>
      </c>
      <c r="AB108" s="330">
        <f t="shared" si="25"/>
        <v>1379.524845414895</v>
      </c>
      <c r="AC108" s="330">
        <f t="shared" si="25"/>
        <v>1379.524845414895</v>
      </c>
      <c r="AD108" s="330">
        <f t="shared" si="25"/>
        <v>1379.524845414895</v>
      </c>
    </row>
    <row r="110" spans="18:30" ht="15.75" x14ac:dyDescent="0.25">
      <c r="R110" s="159" t="s">
        <v>2914</v>
      </c>
      <c r="AA110" s="159" t="s">
        <v>4628</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4638</v>
      </c>
    </row>
    <row r="112" spans="18:30" ht="15.75" thickTop="1" x14ac:dyDescent="0.25">
      <c r="R112" t="s">
        <v>2908</v>
      </c>
      <c r="S112" s="305">
        <v>4.55</v>
      </c>
      <c r="T112" s="305">
        <v>4.55</v>
      </c>
      <c r="U112" s="305">
        <v>4.55</v>
      </c>
      <c r="V112" s="305">
        <v>4.55</v>
      </c>
      <c r="W112" s="305">
        <v>4.55</v>
      </c>
      <c r="X112" s="305">
        <v>4.55</v>
      </c>
      <c r="Y112" s="305">
        <v>4.55</v>
      </c>
      <c r="AA112" t="s">
        <v>4631</v>
      </c>
      <c r="AB112" s="84">
        <v>0.03</v>
      </c>
      <c r="AC112" s="84">
        <v>0.03</v>
      </c>
      <c r="AD112" s="84">
        <v>0.03</v>
      </c>
    </row>
    <row r="113" spans="18:30" x14ac:dyDescent="0.25">
      <c r="R113" t="s">
        <v>2906</v>
      </c>
      <c r="S113" s="305">
        <v>0.67</v>
      </c>
      <c r="T113" s="305">
        <v>0.56999999999999995</v>
      </c>
      <c r="U113" s="305">
        <v>0.48</v>
      </c>
      <c r="V113" s="305">
        <v>0.43</v>
      </c>
      <c r="W113" s="305">
        <v>0.38</v>
      </c>
      <c r="X113" s="305">
        <v>0.34</v>
      </c>
      <c r="Y113" s="305">
        <v>0.28999999999999998</v>
      </c>
      <c r="AA113" t="s">
        <v>4632</v>
      </c>
      <c r="AB113" s="84">
        <v>0.05</v>
      </c>
      <c r="AC113" s="84">
        <v>0.05</v>
      </c>
      <c r="AD113" s="84">
        <v>0.05</v>
      </c>
    </row>
    <row r="114" spans="18:30" x14ac:dyDescent="0.25">
      <c r="R114" t="s">
        <v>2907</v>
      </c>
      <c r="S114" s="305">
        <v>1.36</v>
      </c>
      <c r="T114" s="305">
        <v>1.36</v>
      </c>
      <c r="U114" s="305">
        <v>1.36</v>
      </c>
      <c r="V114" s="305">
        <v>1.36</v>
      </c>
      <c r="W114" s="305">
        <v>1.36</v>
      </c>
      <c r="X114" s="305">
        <v>1.36</v>
      </c>
      <c r="Y114" s="305">
        <v>1.36</v>
      </c>
      <c r="AA114" t="s">
        <v>4733</v>
      </c>
      <c r="AB114" s="84">
        <v>0.04</v>
      </c>
      <c r="AC114" s="84">
        <v>0.04</v>
      </c>
      <c r="AD114" s="84">
        <v>0.04</v>
      </c>
    </row>
    <row r="115" spans="18:30" x14ac:dyDescent="0.25">
      <c r="R115" s="61" t="s">
        <v>2924</v>
      </c>
      <c r="S115" s="305"/>
      <c r="T115" s="305"/>
      <c r="U115" s="305"/>
      <c r="V115" s="305"/>
      <c r="W115" s="305"/>
      <c r="X115" s="305"/>
      <c r="Y115" s="305"/>
      <c r="AA115" t="s">
        <v>4629</v>
      </c>
      <c r="AB115" s="330">
        <f t="shared" ref="AB115:AD117" si="26">AB106*AB112</f>
        <v>95.383279964666229</v>
      </c>
      <c r="AC115" s="330">
        <f t="shared" si="26"/>
        <v>40.54941370478565</v>
      </c>
      <c r="AD115" s="330">
        <f t="shared" si="26"/>
        <v>21.250566968533068</v>
      </c>
    </row>
    <row r="116" spans="18:30" x14ac:dyDescent="0.25">
      <c r="AA116" t="s">
        <v>4633</v>
      </c>
      <c r="AB116" s="330">
        <f t="shared" si="26"/>
        <v>34.973869320377617</v>
      </c>
      <c r="AC116" s="330">
        <f t="shared" si="26"/>
        <v>34.973869320377617</v>
      </c>
      <c r="AD116" s="330">
        <f t="shared" si="26"/>
        <v>34.973869320377617</v>
      </c>
    </row>
    <row r="117" spans="18:30" ht="15.75" x14ac:dyDescent="0.25">
      <c r="R117" s="159" t="s">
        <v>2925</v>
      </c>
      <c r="AA117" t="s">
        <v>4734</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4639</v>
      </c>
    </row>
    <row r="119" spans="18:30" ht="15.75" thickTop="1" x14ac:dyDescent="0.25">
      <c r="R119" t="s">
        <v>2926</v>
      </c>
      <c r="S119" s="305">
        <v>4.17</v>
      </c>
      <c r="T119" s="305">
        <v>4.17</v>
      </c>
      <c r="U119" s="305">
        <v>4.17</v>
      </c>
      <c r="V119" s="305">
        <v>4.17</v>
      </c>
      <c r="W119" s="305">
        <v>4.17</v>
      </c>
      <c r="X119" s="305">
        <v>4.17</v>
      </c>
      <c r="Y119" s="305">
        <v>4.17</v>
      </c>
    </row>
    <row r="120" spans="18:30" x14ac:dyDescent="0.25">
      <c r="R120" s="61" t="s">
        <v>2927</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2322</v>
      </c>
      <c r="B1" s="53" t="s">
        <v>558</v>
      </c>
      <c r="C1" s="109" t="s">
        <v>559</v>
      </c>
      <c r="D1" s="109" t="s">
        <v>561</v>
      </c>
      <c r="E1" s="1038" t="s">
        <v>560</v>
      </c>
      <c r="F1" s="1039"/>
      <c r="G1" s="1039"/>
      <c r="H1" s="1039"/>
      <c r="I1" s="1039"/>
      <c r="J1" s="1039"/>
      <c r="K1" s="1039"/>
      <c r="L1" s="1040"/>
    </row>
    <row r="2" spans="1:38" ht="18.75" x14ac:dyDescent="0.3">
      <c r="A2" s="1177" t="s">
        <v>569</v>
      </c>
      <c r="B2" s="1177"/>
      <c r="C2" s="1177"/>
      <c r="D2" s="1177"/>
      <c r="E2" s="1177"/>
      <c r="F2" s="1177"/>
      <c r="G2" s="1177"/>
      <c r="H2" s="1177"/>
      <c r="I2" s="1177"/>
      <c r="J2" s="1177"/>
      <c r="K2" s="1177"/>
      <c r="L2" s="1177"/>
      <c r="N2" s="1177" t="s">
        <v>541</v>
      </c>
      <c r="O2" s="1178"/>
      <c r="P2" s="1178"/>
      <c r="Q2" s="1178"/>
      <c r="R2" s="1177"/>
      <c r="S2" s="1177"/>
      <c r="T2" s="1177"/>
      <c r="U2" s="1177"/>
      <c r="V2" s="1177"/>
      <c r="W2" s="1177"/>
      <c r="X2" s="1177"/>
      <c r="Y2" s="1177"/>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4643</v>
      </c>
      <c r="C1" s="1087" t="s">
        <v>4674</v>
      </c>
      <c r="D1" s="1087"/>
      <c r="E1" s="1087"/>
      <c r="F1" s="1087"/>
      <c r="G1" s="1087"/>
      <c r="H1" s="1087"/>
      <c r="I1" s="1087"/>
      <c r="J1" s="1087"/>
      <c r="K1" s="1087"/>
      <c r="AC1" s="285" t="s">
        <v>4701</v>
      </c>
    </row>
    <row r="2" spans="1:66" x14ac:dyDescent="0.25">
      <c r="A2" s="1039" t="s">
        <v>4673</v>
      </c>
      <c r="B2" s="1039"/>
      <c r="C2" s="1039"/>
      <c r="D2" s="1039"/>
      <c r="E2" s="1039"/>
      <c r="F2" s="1039"/>
      <c r="G2" s="1039"/>
      <c r="H2" s="1039"/>
      <c r="I2" s="1039"/>
      <c r="J2" s="1039"/>
      <c r="K2" s="1039"/>
      <c r="M2" s="1118" t="s">
        <v>4686</v>
      </c>
      <c r="N2" s="1118"/>
      <c r="O2" s="1118"/>
      <c r="P2" s="1118"/>
      <c r="Q2" s="1118"/>
      <c r="R2" s="1118"/>
      <c r="S2" s="1118"/>
      <c r="U2" s="1118" t="s">
        <v>4685</v>
      </c>
      <c r="V2" s="1118"/>
      <c r="W2" s="1118"/>
      <c r="X2" s="1118"/>
      <c r="Y2" s="1118"/>
      <c r="Z2" s="1118"/>
      <c r="AA2" s="1118"/>
      <c r="AC2" s="1039" t="s">
        <v>4728</v>
      </c>
      <c r="AD2" s="1039"/>
      <c r="AE2" s="1039"/>
      <c r="AF2" s="1039"/>
      <c r="AG2" s="1039"/>
      <c r="AH2" s="1039"/>
      <c r="AI2" s="1039"/>
      <c r="AJ2" s="1039"/>
      <c r="AK2" s="1039"/>
      <c r="AL2" s="1039"/>
      <c r="AM2" s="1039"/>
      <c r="AN2" s="1039"/>
      <c r="AO2" s="1039"/>
      <c r="AP2" s="1039"/>
      <c r="AQ2" s="1039"/>
      <c r="AR2" s="1039"/>
      <c r="AS2" s="1039"/>
      <c r="AT2" s="1039"/>
      <c r="AU2" s="1039"/>
      <c r="AV2" s="1039"/>
      <c r="AW2" s="1039"/>
      <c r="AX2" s="1039"/>
      <c r="AY2" s="1039"/>
      <c r="AZ2" s="1039"/>
      <c r="BA2" s="1039"/>
      <c r="BB2" s="1039"/>
      <c r="BC2" s="1039"/>
      <c r="BD2" s="1039"/>
      <c r="BE2" s="1039"/>
      <c r="BF2" s="1039"/>
      <c r="BG2" s="1039"/>
      <c r="BH2" s="1039"/>
      <c r="BI2" s="1039"/>
      <c r="BJ2" s="1039"/>
      <c r="BK2" s="1039"/>
      <c r="BL2" s="1039"/>
      <c r="BM2" s="1039"/>
      <c r="BN2" s="1039"/>
    </row>
    <row r="3" spans="1:66" ht="15.75" thickBot="1" x14ac:dyDescent="0.3">
      <c r="A3" s="88" t="s">
        <v>2016</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80" t="s">
        <v>4702</v>
      </c>
      <c r="AG3" s="1179"/>
      <c r="AH3" s="1179"/>
      <c r="AI3" s="1179"/>
      <c r="AJ3" s="1179"/>
      <c r="AK3" s="1179"/>
      <c r="AL3" s="1181"/>
      <c r="AM3" s="1180" t="s">
        <v>4703</v>
      </c>
      <c r="AN3" s="1179"/>
      <c r="AO3" s="1179"/>
      <c r="AP3" s="1179"/>
      <c r="AQ3" s="1179"/>
      <c r="AR3" s="1179"/>
      <c r="AS3" s="1181"/>
      <c r="AT3" s="1180" t="s">
        <v>4704</v>
      </c>
      <c r="AU3" s="1179"/>
      <c r="AV3" s="1179"/>
      <c r="AW3" s="1179"/>
      <c r="AX3" s="1179"/>
      <c r="AY3" s="1179"/>
      <c r="AZ3" s="1181"/>
      <c r="BA3" s="1180" t="s">
        <v>4705</v>
      </c>
      <c r="BB3" s="1179"/>
      <c r="BC3" s="1179"/>
      <c r="BD3" s="1179"/>
      <c r="BE3" s="1179"/>
      <c r="BF3" s="1179"/>
      <c r="BG3" s="1181"/>
      <c r="BH3" s="1179" t="s">
        <v>4705</v>
      </c>
      <c r="BI3" s="1179"/>
      <c r="BJ3" s="1179"/>
      <c r="BK3" s="1179"/>
      <c r="BL3" s="1179"/>
      <c r="BM3" s="1179"/>
      <c r="BN3" s="1179"/>
    </row>
    <row r="4" spans="1:66" ht="15.75" thickTop="1" x14ac:dyDescent="0.25">
      <c r="A4" t="s">
        <v>4644</v>
      </c>
      <c r="B4" t="s">
        <v>4645</v>
      </c>
      <c r="C4" t="s">
        <v>4646</v>
      </c>
      <c r="D4" t="s">
        <v>4647</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8">
        <f t="shared" ref="U4:U21" si="7">M4*GWy_PJ</f>
        <v>762.06978100832589</v>
      </c>
      <c r="V4" s="978">
        <f t="shared" ref="V4:V21" si="8">N4*GWy_PJ</f>
        <v>741.85065147820126</v>
      </c>
      <c r="W4" s="978">
        <f t="shared" ref="W4:W21" si="9">O4*GWy_PJ</f>
        <v>717.32944766340017</v>
      </c>
      <c r="X4" s="978">
        <f t="shared" ref="X4:X21" si="10">P4*GWy_PJ</f>
        <v>693.61877011197691</v>
      </c>
      <c r="Y4" s="978">
        <f t="shared" ref="Y4:Y21" si="11">Q4*GWy_PJ</f>
        <v>670.69182760974036</v>
      </c>
      <c r="Z4" s="978">
        <f t="shared" ref="Z4:Z21" si="12">R4*GWy_PJ</f>
        <v>648.52271450190733</v>
      </c>
      <c r="AA4" s="978">
        <f t="shared" ref="AA4:AA21" si="13">S4*GWy_PJ</f>
        <v>627.08638142173538</v>
      </c>
      <c r="AC4" s="882" t="s">
        <v>4706</v>
      </c>
      <c r="AD4" s="882"/>
      <c r="AE4" s="882"/>
      <c r="AF4" s="971">
        <v>2020</v>
      </c>
      <c r="AG4" s="882">
        <v>2025</v>
      </c>
      <c r="AH4" s="882">
        <v>2030</v>
      </c>
      <c r="AI4" s="882">
        <v>2035</v>
      </c>
      <c r="AJ4" s="882">
        <v>2040</v>
      </c>
      <c r="AK4" s="882">
        <v>2045</v>
      </c>
      <c r="AL4" s="972">
        <v>2050</v>
      </c>
      <c r="AM4" s="971">
        <v>2020</v>
      </c>
      <c r="AN4" s="882">
        <v>2025</v>
      </c>
      <c r="AO4" s="882">
        <v>2030</v>
      </c>
      <c r="AP4" s="882">
        <v>2035</v>
      </c>
      <c r="AQ4" s="882">
        <v>2040</v>
      </c>
      <c r="AR4" s="882">
        <v>2045</v>
      </c>
      <c r="AS4" s="972">
        <v>2050</v>
      </c>
      <c r="AT4" s="971">
        <v>2020</v>
      </c>
      <c r="AU4" s="882">
        <v>2025</v>
      </c>
      <c r="AV4" s="882">
        <v>2030</v>
      </c>
      <c r="AW4" s="882">
        <v>2035</v>
      </c>
      <c r="AX4" s="882">
        <v>2040</v>
      </c>
      <c r="AY4" s="882">
        <v>2045</v>
      </c>
      <c r="AZ4" s="972">
        <v>2050</v>
      </c>
      <c r="BA4" s="971">
        <v>2020</v>
      </c>
      <c r="BB4" s="882">
        <v>2025</v>
      </c>
      <c r="BC4" s="882">
        <v>2030</v>
      </c>
      <c r="BD4" s="882">
        <v>2035</v>
      </c>
      <c r="BE4" s="882">
        <v>2040</v>
      </c>
      <c r="BF4" s="882">
        <v>2045</v>
      </c>
      <c r="BG4" s="972">
        <v>2050</v>
      </c>
      <c r="BH4" s="882">
        <v>2020</v>
      </c>
      <c r="BI4" s="882">
        <v>2025</v>
      </c>
      <c r="BJ4" s="882">
        <v>2030</v>
      </c>
      <c r="BK4" s="882">
        <v>2035</v>
      </c>
      <c r="BL4" s="882">
        <v>2040</v>
      </c>
      <c r="BM4" s="882">
        <v>2045</v>
      </c>
      <c r="BN4" s="882">
        <v>2050</v>
      </c>
    </row>
    <row r="5" spans="1:66" x14ac:dyDescent="0.25">
      <c r="B5" t="s">
        <v>4648</v>
      </c>
      <c r="C5" t="s">
        <v>4646</v>
      </c>
      <c r="D5" t="s">
        <v>4647</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8">
        <f t="shared" si="7"/>
        <v>1251.2764625609525</v>
      </c>
      <c r="V5" s="978">
        <f t="shared" si="8"/>
        <v>1231.8704446265767</v>
      </c>
      <c r="W5" s="978">
        <f t="shared" si="9"/>
        <v>1208.0356091415754</v>
      </c>
      <c r="X5" s="978">
        <f t="shared" si="10"/>
        <v>1184.6619417810919</v>
      </c>
      <c r="Y5" s="978">
        <f t="shared" si="11"/>
        <v>1161.740519637342</v>
      </c>
      <c r="Z5" s="978">
        <f t="shared" si="12"/>
        <v>1139.2625924473527</v>
      </c>
      <c r="AA5" s="978">
        <f t="shared" si="13"/>
        <v>1117.2195792525442</v>
      </c>
      <c r="AC5" t="s">
        <v>4707</v>
      </c>
      <c r="AD5" t="s">
        <v>4708</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4649</v>
      </c>
      <c r="C6" t="s">
        <v>4646</v>
      </c>
      <c r="D6" t="s">
        <v>4650</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9">
        <f t="shared" si="7"/>
        <v>3398.3099372217275</v>
      </c>
      <c r="V6" s="959">
        <f t="shared" si="8"/>
        <v>3398.3099372217275</v>
      </c>
      <c r="W6" s="959">
        <f t="shared" si="9"/>
        <v>3398.3099372217275</v>
      </c>
      <c r="X6" s="959">
        <f t="shared" si="10"/>
        <v>3398.3099372217275</v>
      </c>
      <c r="Y6" s="959">
        <f t="shared" si="11"/>
        <v>3398.3099372217275</v>
      </c>
      <c r="Z6" s="959">
        <f t="shared" si="12"/>
        <v>3398.3099372217275</v>
      </c>
      <c r="AA6" s="959">
        <f t="shared" si="13"/>
        <v>3398.3099372217275</v>
      </c>
      <c r="AC6" t="s">
        <v>4709</v>
      </c>
      <c r="AD6" t="s">
        <v>4710</v>
      </c>
      <c r="AF6" s="966">
        <v>0.98</v>
      </c>
      <c r="AG6" s="442">
        <v>0.98</v>
      </c>
      <c r="AH6" s="442">
        <v>0.98</v>
      </c>
      <c r="AI6" s="442">
        <v>0.98</v>
      </c>
      <c r="AJ6" s="442">
        <v>0.98</v>
      </c>
      <c r="AK6" s="442">
        <v>0.98</v>
      </c>
      <c r="AL6" s="969">
        <v>0.98</v>
      </c>
      <c r="AM6" s="966">
        <v>0.98</v>
      </c>
      <c r="AN6" s="442">
        <v>0.98</v>
      </c>
      <c r="AO6" s="442">
        <v>0.98</v>
      </c>
      <c r="AP6" s="442">
        <v>0.98</v>
      </c>
      <c r="AQ6" s="442">
        <v>0.98</v>
      </c>
      <c r="AR6" s="442">
        <v>0.98</v>
      </c>
      <c r="AS6" s="969">
        <v>0.98</v>
      </c>
      <c r="AT6" s="966">
        <v>0.9</v>
      </c>
      <c r="AU6" s="442">
        <v>0.9</v>
      </c>
      <c r="AV6" s="442">
        <v>0.9</v>
      </c>
      <c r="AW6" s="442">
        <v>0.9</v>
      </c>
      <c r="AX6" s="442">
        <v>0.9</v>
      </c>
      <c r="AY6" s="442">
        <v>0.9</v>
      </c>
      <c r="AZ6" s="969">
        <v>0.9</v>
      </c>
      <c r="BA6" s="966">
        <v>0.95</v>
      </c>
      <c r="BB6" s="442">
        <v>0.95</v>
      </c>
      <c r="BC6" s="442">
        <v>0.95</v>
      </c>
      <c r="BD6" s="442">
        <v>0.95</v>
      </c>
      <c r="BE6" s="442">
        <v>0.95</v>
      </c>
      <c r="BF6" s="442">
        <v>0.95</v>
      </c>
      <c r="BG6" s="969">
        <v>0.95</v>
      </c>
      <c r="BH6" s="84">
        <v>0.95</v>
      </c>
      <c r="BI6" s="84">
        <v>0.95</v>
      </c>
      <c r="BJ6" s="84">
        <v>0.95</v>
      </c>
      <c r="BK6" s="84">
        <v>0.95</v>
      </c>
      <c r="BL6" s="84">
        <v>0.95</v>
      </c>
      <c r="BM6" s="84">
        <v>0.95</v>
      </c>
      <c r="BN6" s="84">
        <v>0.95</v>
      </c>
    </row>
    <row r="7" spans="1:66" x14ac:dyDescent="0.25">
      <c r="B7" t="s">
        <v>4651</v>
      </c>
      <c r="C7" t="s">
        <v>4646</v>
      </c>
      <c r="D7" t="s">
        <v>4650</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9">
        <f t="shared" si="7"/>
        <v>2852.2985084594834</v>
      </c>
      <c r="V7" s="959">
        <f t="shared" si="8"/>
        <v>2852.2985084594834</v>
      </c>
      <c r="W7" s="959">
        <f t="shared" si="9"/>
        <v>2852.2985084594834</v>
      </c>
      <c r="X7" s="959">
        <f t="shared" si="10"/>
        <v>2852.2985084594834</v>
      </c>
      <c r="Y7" s="959">
        <f t="shared" si="11"/>
        <v>2852.2985084594834</v>
      </c>
      <c r="Z7" s="959">
        <f t="shared" si="12"/>
        <v>2852.2985084594834</v>
      </c>
      <c r="AA7" s="959">
        <f t="shared" si="13"/>
        <v>2852.2985084594834</v>
      </c>
      <c r="AC7" t="s">
        <v>4711</v>
      </c>
      <c r="AD7" t="s">
        <v>4710</v>
      </c>
      <c r="AF7" s="966"/>
      <c r="AG7" s="442"/>
      <c r="AH7" s="442"/>
      <c r="AI7" s="442"/>
      <c r="AJ7" s="442"/>
      <c r="AK7" s="442"/>
      <c r="AL7" s="969"/>
      <c r="AM7" s="966"/>
      <c r="AN7" s="442"/>
      <c r="AO7" s="442"/>
      <c r="AP7" s="442"/>
      <c r="AQ7" s="442"/>
      <c r="AR7" s="442"/>
      <c r="AS7" s="969"/>
      <c r="AT7" s="966"/>
      <c r="AU7" s="442"/>
      <c r="AV7" s="442"/>
      <c r="AW7" s="442"/>
      <c r="AX7" s="442"/>
      <c r="AY7" s="442"/>
      <c r="AZ7" s="969"/>
      <c r="BA7" s="966">
        <v>0.9</v>
      </c>
      <c r="BB7" s="442">
        <v>0.9</v>
      </c>
      <c r="BC7" s="442">
        <v>0.9</v>
      </c>
      <c r="BD7" s="442">
        <v>0.9</v>
      </c>
      <c r="BE7" s="442">
        <v>0.9</v>
      </c>
      <c r="BF7" s="442">
        <v>0.9</v>
      </c>
      <c r="BG7" s="969">
        <v>0.9</v>
      </c>
      <c r="BH7" s="84">
        <v>0.9</v>
      </c>
      <c r="BI7" s="84">
        <v>0.9</v>
      </c>
      <c r="BJ7" s="84">
        <v>0.9</v>
      </c>
      <c r="BK7" s="84">
        <v>0.9</v>
      </c>
      <c r="BL7" s="84">
        <v>0.9</v>
      </c>
      <c r="BM7" s="84">
        <v>0.9</v>
      </c>
      <c r="BN7" s="84">
        <v>0.9</v>
      </c>
    </row>
    <row r="8" spans="1:66" x14ac:dyDescent="0.25">
      <c r="B8" t="s">
        <v>4652</v>
      </c>
      <c r="C8" t="s">
        <v>4646</v>
      </c>
      <c r="D8" t="s">
        <v>4650</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9">
        <f t="shared" si="7"/>
        <v>3779.0044728406056</v>
      </c>
      <c r="V8" s="959">
        <f t="shared" si="8"/>
        <v>3779.0044728406056</v>
      </c>
      <c r="W8" s="959">
        <f t="shared" si="9"/>
        <v>3779.0044728406056</v>
      </c>
      <c r="X8" s="959">
        <f t="shared" si="10"/>
        <v>3779.0044728406056</v>
      </c>
      <c r="Y8" s="959">
        <f t="shared" si="11"/>
        <v>3779.0044728406056</v>
      </c>
      <c r="Z8" s="959">
        <f t="shared" si="12"/>
        <v>3779.0044728406056</v>
      </c>
      <c r="AA8" s="959">
        <f t="shared" si="13"/>
        <v>3779.0044728406056</v>
      </c>
      <c r="AC8" s="1145" t="s">
        <v>4712</v>
      </c>
      <c r="AD8" s="1145" t="s">
        <v>4713</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4653</v>
      </c>
      <c r="C9" t="s">
        <v>4646</v>
      </c>
      <c r="D9" t="s">
        <v>4654</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8">
        <f t="shared" si="7"/>
        <v>1000.0507831700801</v>
      </c>
      <c r="V9" s="978">
        <f t="shared" si="8"/>
        <v>954.44960203753249</v>
      </c>
      <c r="W9" s="978">
        <f t="shared" si="9"/>
        <v>900.36102074593055</v>
      </c>
      <c r="X9" s="978">
        <f t="shared" si="10"/>
        <v>849.33763495537232</v>
      </c>
      <c r="Y9" s="978">
        <f t="shared" si="11"/>
        <v>801.20574028620354</v>
      </c>
      <c r="Z9" s="978">
        <f t="shared" si="12"/>
        <v>755.80147617183286</v>
      </c>
      <c r="AA9" s="978">
        <f t="shared" si="13"/>
        <v>712.97026801064465</v>
      </c>
      <c r="AC9" s="1145"/>
      <c r="AD9" s="1145"/>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4655</v>
      </c>
      <c r="C10" t="s">
        <v>4646</v>
      </c>
      <c r="D10" t="s">
        <v>4654</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8">
        <f t="shared" si="7"/>
        <v>1349.3118250222617</v>
      </c>
      <c r="V10" s="978">
        <f t="shared" si="8"/>
        <v>1187.1152655207823</v>
      </c>
      <c r="W10" s="978">
        <f t="shared" si="9"/>
        <v>1011.5063044037286</v>
      </c>
      <c r="X10" s="978">
        <f t="shared" si="10"/>
        <v>861.87502895907824</v>
      </c>
      <c r="Y10" s="978">
        <f t="shared" si="11"/>
        <v>734.37858203078713</v>
      </c>
      <c r="Z10" s="978">
        <f t="shared" si="12"/>
        <v>625.74257708440484</v>
      </c>
      <c r="AA10" s="978">
        <f t="shared" si="13"/>
        <v>533.17700482694272</v>
      </c>
      <c r="AC10" s="1145"/>
      <c r="AD10" s="1145"/>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4656</v>
      </c>
      <c r="C11" t="s">
        <v>4646</v>
      </c>
      <c r="D11" t="s">
        <v>4654</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9">
        <f t="shared" si="7"/>
        <v>2092.073640694568</v>
      </c>
      <c r="V11" s="959">
        <f t="shared" si="8"/>
        <v>1832.5472047703763</v>
      </c>
      <c r="W11" s="959">
        <f t="shared" si="9"/>
        <v>1552.9337340675218</v>
      </c>
      <c r="X11" s="959">
        <f t="shared" si="10"/>
        <v>1315.9842082796861</v>
      </c>
      <c r="Y11" s="959">
        <f t="shared" si="11"/>
        <v>1115.1888831118749</v>
      </c>
      <c r="Z11" s="959">
        <f t="shared" si="12"/>
        <v>945.03128319606571</v>
      </c>
      <c r="AA11" s="959">
        <f t="shared" si="13"/>
        <v>800.83664726561767</v>
      </c>
      <c r="AC11" s="1145" t="s">
        <v>4714</v>
      </c>
      <c r="AD11" s="1145" t="s">
        <v>4715</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4657</v>
      </c>
      <c r="B12" t="s">
        <v>4658</v>
      </c>
      <c r="C12" t="s">
        <v>4659</v>
      </c>
      <c r="D12" t="s">
        <v>4660</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9">
        <f t="shared" si="7"/>
        <v>35205.513018699916</v>
      </c>
      <c r="V12" s="959">
        <f t="shared" si="8"/>
        <v>32591.895218777277</v>
      </c>
      <c r="W12" s="959">
        <f t="shared" si="9"/>
        <v>29596.018361949031</v>
      </c>
      <c r="X12" s="959">
        <f t="shared" si="10"/>
        <v>26875.525249485199</v>
      </c>
      <c r="Y12" s="959">
        <f t="shared" si="11"/>
        <v>24405.102355401767</v>
      </c>
      <c r="Z12" s="959">
        <f t="shared" si="12"/>
        <v>22161.762996205838</v>
      </c>
      <c r="AA12" s="959">
        <f t="shared" si="13"/>
        <v>20124.633445402862</v>
      </c>
      <c r="AC12" s="1145"/>
      <c r="AD12" s="1145"/>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4661</v>
      </c>
      <c r="C13" t="s">
        <v>4646</v>
      </c>
      <c r="D13" t="s">
        <v>4660</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9">
        <f t="shared" si="7"/>
        <v>2926.8075307212816</v>
      </c>
      <c r="V13" s="959">
        <f t="shared" si="8"/>
        <v>2603.9273233550934</v>
      </c>
      <c r="W13" s="959">
        <f t="shared" si="9"/>
        <v>2249.9466862924523</v>
      </c>
      <c r="X13" s="959">
        <f t="shared" si="10"/>
        <v>1944.0865517843233</v>
      </c>
      <c r="Y13" s="959">
        <f t="shared" si="11"/>
        <v>1679.805367769234</v>
      </c>
      <c r="Z13" s="959">
        <f t="shared" si="12"/>
        <v>1451.4508476983553</v>
      </c>
      <c r="AA13" s="959">
        <f t="shared" si="13"/>
        <v>1254.1390828402739</v>
      </c>
      <c r="AC13" s="1145"/>
      <c r="AD13" s="1145"/>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4662</v>
      </c>
      <c r="C14" t="s">
        <v>4646</v>
      </c>
      <c r="D14" t="s">
        <v>4660</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9">
        <f t="shared" si="7"/>
        <v>2926.8075307212816</v>
      </c>
      <c r="V14" s="959">
        <f t="shared" si="8"/>
        <v>2603.9273233550934</v>
      </c>
      <c r="W14" s="959">
        <f t="shared" si="9"/>
        <v>2249.9466862924523</v>
      </c>
      <c r="X14" s="959">
        <f t="shared" si="10"/>
        <v>1944.0865517843233</v>
      </c>
      <c r="Y14" s="959">
        <f t="shared" si="11"/>
        <v>1679.805367769234</v>
      </c>
      <c r="Z14" s="959">
        <f t="shared" si="12"/>
        <v>1451.4508476983553</v>
      </c>
      <c r="AA14" s="959">
        <f t="shared" si="13"/>
        <v>1254.1390828402739</v>
      </c>
      <c r="AC14" t="s">
        <v>4716</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4663</v>
      </c>
      <c r="C15" t="s">
        <v>4646</v>
      </c>
      <c r="D15" t="s">
        <v>4664</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9">
        <f t="shared" si="7"/>
        <v>712.25782195832585</v>
      </c>
      <c r="V15" s="959">
        <f t="shared" si="8"/>
        <v>670.66493328100501</v>
      </c>
      <c r="W15" s="959">
        <f t="shared" si="9"/>
        <v>622.07258759937929</v>
      </c>
      <c r="X15" s="959">
        <f t="shared" si="10"/>
        <v>577.00095090620664</v>
      </c>
      <c r="Y15" s="959">
        <f t="shared" si="11"/>
        <v>535.194933812253</v>
      </c>
      <c r="Z15" s="959">
        <f t="shared" si="12"/>
        <v>496.41792917055784</v>
      </c>
      <c r="AA15" s="959">
        <f t="shared" si="13"/>
        <v>460.45047296436701</v>
      </c>
      <c r="AC15" s="1145" t="s">
        <v>4673</v>
      </c>
      <c r="AD15" s="1145" t="s">
        <v>4717</v>
      </c>
      <c r="AE15" t="s">
        <v>766</v>
      </c>
      <c r="AF15" s="965">
        <v>729.44</v>
      </c>
      <c r="AG15" s="412">
        <v>579.73</v>
      </c>
      <c r="AH15" s="412">
        <v>493.65000000000003</v>
      </c>
      <c r="AI15" s="412">
        <v>467.82</v>
      </c>
      <c r="AJ15" s="412">
        <v>442.24</v>
      </c>
      <c r="AK15" s="412">
        <v>435.64</v>
      </c>
      <c r="AL15" s="968">
        <v>429.04</v>
      </c>
      <c r="AM15" s="965">
        <v>953.59</v>
      </c>
      <c r="AN15" s="412">
        <v>600.38</v>
      </c>
      <c r="AO15" s="412">
        <v>433.33</v>
      </c>
      <c r="AP15" s="412">
        <v>391.91</v>
      </c>
      <c r="AQ15" s="412">
        <v>359.17</v>
      </c>
      <c r="AR15" s="412">
        <v>343.16</v>
      </c>
      <c r="AS15" s="968">
        <v>334.95</v>
      </c>
      <c r="AT15" s="965">
        <v>1351.03</v>
      </c>
      <c r="AU15" s="412">
        <v>891.09</v>
      </c>
      <c r="AV15" s="412">
        <v>683.24</v>
      </c>
      <c r="AW15" s="412">
        <v>629.87</v>
      </c>
      <c r="AX15" s="412">
        <v>577.21</v>
      </c>
      <c r="AY15" s="412">
        <v>551.95000000000005</v>
      </c>
      <c r="AZ15" s="968">
        <v>526.79</v>
      </c>
      <c r="BA15" s="965"/>
      <c r="BB15" s="412"/>
      <c r="BC15" s="412"/>
      <c r="BD15" s="412"/>
      <c r="BE15" s="412"/>
      <c r="BF15" s="412"/>
      <c r="BG15" s="968"/>
      <c r="BH15" s="305"/>
      <c r="BI15" s="305"/>
      <c r="BJ15" s="305"/>
      <c r="BK15" s="305"/>
      <c r="BL15" s="305"/>
      <c r="BM15" s="305"/>
      <c r="BN15" s="305"/>
    </row>
    <row r="16" spans="1:66" x14ac:dyDescent="0.25">
      <c r="A16" t="s">
        <v>4665</v>
      </c>
      <c r="B16" t="s">
        <v>4666</v>
      </c>
      <c r="C16" t="s">
        <v>4646</v>
      </c>
      <c r="D16" t="s">
        <v>4667</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9">
        <f t="shared" si="7"/>
        <v>1017.2926366028495</v>
      </c>
      <c r="V16" s="959">
        <f t="shared" si="8"/>
        <v>1017.2926366028495</v>
      </c>
      <c r="W16" s="959">
        <f t="shared" si="9"/>
        <v>1017.2926366028495</v>
      </c>
      <c r="X16" s="959">
        <f t="shared" si="10"/>
        <v>1017.2926366028495</v>
      </c>
      <c r="Y16" s="959">
        <f t="shared" si="11"/>
        <v>1017.2926366028495</v>
      </c>
      <c r="Z16" s="959">
        <f t="shared" si="12"/>
        <v>1017.2926366028495</v>
      </c>
      <c r="AA16" s="959">
        <f t="shared" si="13"/>
        <v>1017.2926366028495</v>
      </c>
      <c r="AC16" s="1145"/>
      <c r="AD16" s="1145"/>
      <c r="AE16" t="s">
        <v>1329</v>
      </c>
      <c r="AF16" s="965">
        <v>859.49</v>
      </c>
      <c r="AG16" s="412">
        <v>744.33</v>
      </c>
      <c r="AH16" s="412">
        <v>670.92</v>
      </c>
      <c r="AI16" s="412">
        <v>652.08000000000004</v>
      </c>
      <c r="AJ16" s="412">
        <v>633.45000000000005</v>
      </c>
      <c r="AK16" s="412">
        <v>623.41</v>
      </c>
      <c r="AL16" s="968">
        <v>613.44000000000005</v>
      </c>
      <c r="AM16" s="965">
        <v>1158.6300000000001</v>
      </c>
      <c r="AN16" s="412">
        <v>730.29</v>
      </c>
      <c r="AO16" s="412">
        <v>561.76</v>
      </c>
      <c r="AP16" s="412">
        <v>518.75</v>
      </c>
      <c r="AQ16" s="412">
        <v>476.79</v>
      </c>
      <c r="AR16" s="412">
        <v>467.56</v>
      </c>
      <c r="AS16" s="968">
        <v>458.40000000000003</v>
      </c>
      <c r="AT16" s="965">
        <v>1796.5</v>
      </c>
      <c r="AU16" s="412">
        <v>1304.19</v>
      </c>
      <c r="AV16" s="412">
        <v>1032.23</v>
      </c>
      <c r="AW16" s="412">
        <v>913.21</v>
      </c>
      <c r="AX16" s="412">
        <v>797.7</v>
      </c>
      <c r="AY16" s="412">
        <v>742.57</v>
      </c>
      <c r="AZ16" s="968">
        <v>688.15</v>
      </c>
      <c r="BA16" s="965">
        <v>774.08</v>
      </c>
      <c r="BB16" s="412">
        <v>727.25</v>
      </c>
      <c r="BC16" s="412">
        <v>681.89</v>
      </c>
      <c r="BD16" s="412">
        <v>639.45000000000005</v>
      </c>
      <c r="BE16" s="412">
        <v>599.95000000000005</v>
      </c>
      <c r="BF16" s="412">
        <v>563.36</v>
      </c>
      <c r="BG16" s="968">
        <v>528.25</v>
      </c>
      <c r="BH16" s="305">
        <v>584.98</v>
      </c>
      <c r="BI16" s="305">
        <v>549.59</v>
      </c>
      <c r="BJ16" s="305">
        <v>515.31000000000006</v>
      </c>
      <c r="BK16" s="305">
        <v>483.25</v>
      </c>
      <c r="BL16" s="305">
        <v>453.39</v>
      </c>
      <c r="BM16" s="305">
        <v>425.74</v>
      </c>
      <c r="BN16" s="305">
        <v>399.2</v>
      </c>
    </row>
    <row r="17" spans="1:66" x14ac:dyDescent="0.25">
      <c r="B17" t="s">
        <v>4668</v>
      </c>
      <c r="C17" t="s">
        <v>4646</v>
      </c>
      <c r="D17" t="s">
        <v>4660</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9">
        <f t="shared" si="7"/>
        <v>668.93492350931422</v>
      </c>
      <c r="V17" s="959">
        <f t="shared" si="8"/>
        <v>584.18546126606464</v>
      </c>
      <c r="W17" s="959">
        <f t="shared" si="9"/>
        <v>493.18440734691501</v>
      </c>
      <c r="X17" s="959">
        <f t="shared" si="10"/>
        <v>416.35897463622325</v>
      </c>
      <c r="Y17" s="959">
        <f t="shared" si="11"/>
        <v>351.50096632756322</v>
      </c>
      <c r="Z17" s="959">
        <f t="shared" si="12"/>
        <v>296.74616582279771</v>
      </c>
      <c r="AA17" s="959">
        <f t="shared" si="13"/>
        <v>250.52075347204018</v>
      </c>
      <c r="AC17" s="1145"/>
      <c r="AD17" s="1145"/>
      <c r="AE17" t="s">
        <v>768</v>
      </c>
      <c r="AF17" s="965">
        <v>1179.69</v>
      </c>
      <c r="AG17" s="412">
        <v>1033.6400000000001</v>
      </c>
      <c r="AH17" s="412">
        <v>975.21</v>
      </c>
      <c r="AI17" s="412">
        <v>942.35</v>
      </c>
      <c r="AJ17" s="412">
        <v>910.05000000000007</v>
      </c>
      <c r="AK17" s="412">
        <v>894.11</v>
      </c>
      <c r="AL17" s="968">
        <v>878.31000000000006</v>
      </c>
      <c r="AM17" s="965">
        <v>1887.51</v>
      </c>
      <c r="AN17" s="412">
        <v>1458.33</v>
      </c>
      <c r="AO17" s="412">
        <v>1215.93</v>
      </c>
      <c r="AP17" s="412">
        <v>1092.06</v>
      </c>
      <c r="AQ17" s="412">
        <v>973.25</v>
      </c>
      <c r="AR17" s="412">
        <v>934.77</v>
      </c>
      <c r="AS17" s="968">
        <v>896.85</v>
      </c>
      <c r="AT17" s="965">
        <v>2584.09</v>
      </c>
      <c r="AU17" s="412">
        <v>2081.3200000000002</v>
      </c>
      <c r="AV17" s="412">
        <v>1707.75</v>
      </c>
      <c r="AW17" s="412">
        <v>1585.21</v>
      </c>
      <c r="AX17" s="412">
        <v>1412.47</v>
      </c>
      <c r="AY17" s="412">
        <v>1355.59</v>
      </c>
      <c r="AZ17" s="968">
        <v>1299.07</v>
      </c>
      <c r="BA17" s="965"/>
      <c r="BB17" s="412"/>
      <c r="BC17" s="412"/>
      <c r="BD17" s="412"/>
      <c r="BE17" s="412"/>
      <c r="BF17" s="412"/>
      <c r="BG17" s="968"/>
      <c r="BH17" s="305"/>
      <c r="BI17" s="305"/>
      <c r="BJ17" s="305"/>
      <c r="BK17" s="305"/>
      <c r="BL17" s="305"/>
      <c r="BM17" s="305"/>
      <c r="BN17" s="305"/>
    </row>
    <row r="18" spans="1:66" x14ac:dyDescent="0.25">
      <c r="B18" t="s">
        <v>4669</v>
      </c>
      <c r="C18" t="s">
        <v>4646</v>
      </c>
      <c r="D18" t="s">
        <v>4647</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9">
        <f t="shared" si="7"/>
        <v>1121.127944345503</v>
      </c>
      <c r="V18" s="959">
        <f t="shared" si="8"/>
        <v>1045.110513848608</v>
      </c>
      <c r="W18" s="959">
        <f t="shared" si="9"/>
        <v>957.29549638896788</v>
      </c>
      <c r="X18" s="959">
        <f t="shared" si="10"/>
        <v>876.85910271050022</v>
      </c>
      <c r="Y18" s="959">
        <f t="shared" si="11"/>
        <v>803.18134672791962</v>
      </c>
      <c r="Z18" s="959">
        <f t="shared" si="12"/>
        <v>735.69433645334266</v>
      </c>
      <c r="AA18" s="959">
        <f t="shared" si="13"/>
        <v>673.87789680936521</v>
      </c>
      <c r="AC18" t="s">
        <v>4718</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4670</v>
      </c>
      <c r="C19" t="s">
        <v>4646</v>
      </c>
      <c r="D19" t="s">
        <v>4647</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9">
        <f t="shared" si="7"/>
        <v>249.7405632307435</v>
      </c>
      <c r="V19" s="959">
        <f t="shared" si="8"/>
        <v>247.50047265887116</v>
      </c>
      <c r="W19" s="959">
        <f t="shared" si="9"/>
        <v>244.72859389273808</v>
      </c>
      <c r="X19" s="959">
        <f t="shared" si="10"/>
        <v>241.98775875174076</v>
      </c>
      <c r="Y19" s="959">
        <f t="shared" si="11"/>
        <v>239.27761956314779</v>
      </c>
      <c r="Z19" s="959">
        <f t="shared" si="12"/>
        <v>236.59783254798469</v>
      </c>
      <c r="AA19" s="959">
        <f t="shared" si="13"/>
        <v>233.9480577774259</v>
      </c>
      <c r="AC19" s="1145" t="s">
        <v>4719</v>
      </c>
      <c r="AD19" t="s">
        <v>4710</v>
      </c>
      <c r="AE19" t="s">
        <v>4720</v>
      </c>
      <c r="AF19" s="966">
        <v>0.33333333333333331</v>
      </c>
      <c r="AG19" s="442">
        <v>0.33333333333333331</v>
      </c>
      <c r="AH19" s="442">
        <v>0.33333333333333331</v>
      </c>
      <c r="AI19" s="442">
        <v>0.33333333333333331</v>
      </c>
      <c r="AJ19" s="442">
        <v>0.33333333333333331</v>
      </c>
      <c r="AK19" s="442">
        <v>0.33333333333333331</v>
      </c>
      <c r="AL19" s="969">
        <v>0.33333333333333331</v>
      </c>
      <c r="AM19" s="966">
        <v>0.33333333333333331</v>
      </c>
      <c r="AN19" s="442">
        <v>0.33333333333333331</v>
      </c>
      <c r="AO19" s="442">
        <v>0.33333333333333331</v>
      </c>
      <c r="AP19" s="442">
        <v>0.33333333333333331</v>
      </c>
      <c r="AQ19" s="442">
        <v>0.33333333333333331</v>
      </c>
      <c r="AR19" s="442">
        <v>0.33333333333333331</v>
      </c>
      <c r="AS19" s="969">
        <v>0.33333333333333331</v>
      </c>
      <c r="AT19" s="966">
        <v>0.33333333333333331</v>
      </c>
      <c r="AU19" s="442">
        <v>0.33333333333333331</v>
      </c>
      <c r="AV19" s="442">
        <v>0.33333333333333331</v>
      </c>
      <c r="AW19" s="442">
        <v>0.33333333333333331</v>
      </c>
      <c r="AX19" s="442">
        <v>0.33333333333333331</v>
      </c>
      <c r="AY19" s="442">
        <v>0.33333333333333331</v>
      </c>
      <c r="AZ19" s="969">
        <v>0.33333333333333331</v>
      </c>
      <c r="BA19" s="966">
        <v>0.33333333333333331</v>
      </c>
      <c r="BB19" s="442">
        <v>0.33333333333333331</v>
      </c>
      <c r="BC19" s="442">
        <v>0.33333333333333331</v>
      </c>
      <c r="BD19" s="442">
        <v>0.33333333333333331</v>
      </c>
      <c r="BE19" s="442">
        <v>0.33333333333333331</v>
      </c>
      <c r="BF19" s="442">
        <v>0.33333333333333331</v>
      </c>
      <c r="BG19" s="969">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4671</v>
      </c>
      <c r="C20" t="s">
        <v>4646</v>
      </c>
      <c r="D20" t="s">
        <v>4647</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9">
        <f t="shared" si="7"/>
        <v>481.3233662157507</v>
      </c>
      <c r="V20" s="959">
        <f t="shared" si="8"/>
        <v>469.56513407586272</v>
      </c>
      <c r="W20" s="959">
        <f t="shared" si="9"/>
        <v>455.27045108908561</v>
      </c>
      <c r="X20" s="959">
        <f t="shared" si="10"/>
        <v>441.41093235719859</v>
      </c>
      <c r="Y20" s="959">
        <f t="shared" si="11"/>
        <v>427.97333044205192</v>
      </c>
      <c r="Z20" s="959">
        <f t="shared" si="12"/>
        <v>414.94480118911997</v>
      </c>
      <c r="AA20" s="959">
        <f t="shared" si="13"/>
        <v>402.31289145058423</v>
      </c>
      <c r="AC20" s="1145"/>
      <c r="AD20" t="s">
        <v>4710</v>
      </c>
      <c r="AE20" t="s">
        <v>4721</v>
      </c>
      <c r="AF20" s="966">
        <v>0.33333333333333331</v>
      </c>
      <c r="AG20" s="442">
        <v>0.33333333333333331</v>
      </c>
      <c r="AH20" s="442">
        <v>0.33333333333333331</v>
      </c>
      <c r="AI20" s="442">
        <v>0.33333333333333331</v>
      </c>
      <c r="AJ20" s="442">
        <v>0.33333333333333331</v>
      </c>
      <c r="AK20" s="442">
        <v>0.33333333333333331</v>
      </c>
      <c r="AL20" s="969">
        <v>0.33333333333333331</v>
      </c>
      <c r="AM20" s="966">
        <v>0.33333333333333331</v>
      </c>
      <c r="AN20" s="442">
        <v>0.33333333333333331</v>
      </c>
      <c r="AO20" s="442">
        <v>0.33333333333333331</v>
      </c>
      <c r="AP20" s="442">
        <v>0.33333333333333331</v>
      </c>
      <c r="AQ20" s="442">
        <v>0.33333333333333331</v>
      </c>
      <c r="AR20" s="442">
        <v>0.33333333333333331</v>
      </c>
      <c r="AS20" s="969">
        <v>0.33333333333333331</v>
      </c>
      <c r="AT20" s="966">
        <v>0.33333333333333331</v>
      </c>
      <c r="AU20" s="442">
        <v>0.33333333333333331</v>
      </c>
      <c r="AV20" s="442">
        <v>0.33333333333333331</v>
      </c>
      <c r="AW20" s="442">
        <v>0.33333333333333331</v>
      </c>
      <c r="AX20" s="442">
        <v>0.33333333333333331</v>
      </c>
      <c r="AY20" s="442">
        <v>0.33333333333333331</v>
      </c>
      <c r="AZ20" s="969">
        <v>0.33333333333333331</v>
      </c>
      <c r="BA20" s="966">
        <v>0.33333333333333331</v>
      </c>
      <c r="BB20" s="442">
        <v>0.33333333333333331</v>
      </c>
      <c r="BC20" s="442">
        <v>0.33333333333333331</v>
      </c>
      <c r="BD20" s="442">
        <v>0.33333333333333331</v>
      </c>
      <c r="BE20" s="442">
        <v>0.33333333333333331</v>
      </c>
      <c r="BF20" s="442">
        <v>0.33333333333333331</v>
      </c>
      <c r="BG20" s="969">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4672</v>
      </c>
      <c r="C21" t="s">
        <v>4646</v>
      </c>
      <c r="D21" t="s">
        <v>4647</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9">
        <f t="shared" si="7"/>
        <v>1399.9814527707033</v>
      </c>
      <c r="V21" s="959">
        <f t="shared" si="8"/>
        <v>1361.1916492270404</v>
      </c>
      <c r="W21" s="959">
        <f t="shared" si="9"/>
        <v>1314.2122728430866</v>
      </c>
      <c r="X21" s="959">
        <f t="shared" si="10"/>
        <v>1268.8543153142057</v>
      </c>
      <c r="Y21" s="959">
        <f t="shared" si="11"/>
        <v>1225.0618159336811</v>
      </c>
      <c r="Z21" s="959">
        <f t="shared" si="12"/>
        <v>1182.7807453900584</v>
      </c>
      <c r="AA21" s="959">
        <f t="shared" si="13"/>
        <v>1141.9589391080949</v>
      </c>
      <c r="AC21" s="1145"/>
      <c r="AD21" t="s">
        <v>4710</v>
      </c>
      <c r="AE21" t="s">
        <v>4722</v>
      </c>
      <c r="AF21" s="966">
        <v>0.33333333333333331</v>
      </c>
      <c r="AG21" s="442">
        <v>0.33333333333333331</v>
      </c>
      <c r="AH21" s="442">
        <v>0.33333333333333331</v>
      </c>
      <c r="AI21" s="442">
        <v>0.33333333333333331</v>
      </c>
      <c r="AJ21" s="442">
        <v>0.33333333333333331</v>
      </c>
      <c r="AK21" s="442">
        <v>0.33333333333333331</v>
      </c>
      <c r="AL21" s="969">
        <v>0.33333333333333331</v>
      </c>
      <c r="AM21" s="966">
        <v>0.33333333333333331</v>
      </c>
      <c r="AN21" s="442">
        <v>0.33333333333333331</v>
      </c>
      <c r="AO21" s="442">
        <v>0.33333333333333331</v>
      </c>
      <c r="AP21" s="442">
        <v>0.33333333333333331</v>
      </c>
      <c r="AQ21" s="442">
        <v>0.33333333333333331</v>
      </c>
      <c r="AR21" s="442">
        <v>0.33333333333333331</v>
      </c>
      <c r="AS21" s="969">
        <v>0.33333333333333331</v>
      </c>
      <c r="AT21" s="966">
        <v>0.33333333333333331</v>
      </c>
      <c r="AU21" s="442">
        <v>0.33333333333333331</v>
      </c>
      <c r="AV21" s="442">
        <v>0.33333333333333331</v>
      </c>
      <c r="AW21" s="442">
        <v>0.33333333333333331</v>
      </c>
      <c r="AX21" s="442">
        <v>0.33333333333333331</v>
      </c>
      <c r="AY21" s="442">
        <v>0.33333333333333331</v>
      </c>
      <c r="AZ21" s="969">
        <v>0.33333333333333331</v>
      </c>
      <c r="BA21" s="966">
        <v>0.33333333333333331</v>
      </c>
      <c r="BB21" s="442">
        <v>0.33333333333333331</v>
      </c>
      <c r="BC21" s="442">
        <v>0.33333333333333331</v>
      </c>
      <c r="BD21" s="442">
        <v>0.33333333333333331</v>
      </c>
      <c r="BE21" s="442">
        <v>0.33333333333333331</v>
      </c>
      <c r="BF21" s="442">
        <v>0.33333333333333331</v>
      </c>
      <c r="BG21" s="969">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45" t="s">
        <v>4723</v>
      </c>
      <c r="AD22" s="1145" t="s">
        <v>4724</v>
      </c>
      <c r="AE22" t="s">
        <v>766</v>
      </c>
      <c r="AF22" s="967">
        <v>29.89</v>
      </c>
      <c r="AG22" s="558">
        <v>29.28</v>
      </c>
      <c r="AH22" s="558">
        <v>28.98</v>
      </c>
      <c r="AI22" s="558">
        <v>28.830000000000002</v>
      </c>
      <c r="AJ22" s="558">
        <v>28.67</v>
      </c>
      <c r="AK22" s="558">
        <v>28.67</v>
      </c>
      <c r="AL22" s="970">
        <v>28.67</v>
      </c>
      <c r="AM22" s="967">
        <v>32.380000000000003</v>
      </c>
      <c r="AN22" s="558">
        <v>31.71</v>
      </c>
      <c r="AO22" s="558">
        <v>31.21</v>
      </c>
      <c r="AP22" s="558">
        <v>30.8</v>
      </c>
      <c r="AQ22" s="558">
        <v>31.05</v>
      </c>
      <c r="AR22" s="558">
        <v>30.21</v>
      </c>
      <c r="AS22" s="970">
        <v>30.04</v>
      </c>
      <c r="AT22" s="967">
        <v>51.96</v>
      </c>
      <c r="AU22" s="558">
        <v>49.5</v>
      </c>
      <c r="AV22" s="558">
        <v>48.800000000000004</v>
      </c>
      <c r="AW22" s="558">
        <v>48.45</v>
      </c>
      <c r="AX22" s="558">
        <v>48.1</v>
      </c>
      <c r="AY22" s="558">
        <v>48</v>
      </c>
      <c r="AZ22" s="970">
        <v>47.89</v>
      </c>
      <c r="BA22" s="967"/>
      <c r="BB22" s="558"/>
      <c r="BC22" s="558"/>
      <c r="BD22" s="558"/>
      <c r="BE22" s="558"/>
      <c r="BF22" s="558"/>
      <c r="BG22" s="970"/>
      <c r="BH22" s="196"/>
      <c r="BI22" s="196"/>
      <c r="BJ22" s="196"/>
      <c r="BK22" s="196"/>
      <c r="BL22" s="196"/>
      <c r="BM22" s="196"/>
      <c r="BN22" s="196"/>
    </row>
    <row r="23" spans="1:66" x14ac:dyDescent="0.25">
      <c r="A23" s="1039" t="s">
        <v>4679</v>
      </c>
      <c r="B23" s="1039"/>
      <c r="C23" s="1039"/>
      <c r="D23" s="1039"/>
      <c r="E23" s="1039"/>
      <c r="F23" s="1039"/>
      <c r="G23" s="1039"/>
      <c r="H23" s="1039"/>
      <c r="I23" s="1039"/>
      <c r="J23" s="1039"/>
      <c r="K23" s="1039"/>
      <c r="M23" s="1118" t="s">
        <v>4687</v>
      </c>
      <c r="N23" s="1118"/>
      <c r="O23" s="1118"/>
      <c r="P23" s="1118"/>
      <c r="Q23" s="1118"/>
      <c r="R23" s="1118"/>
      <c r="S23" s="1118"/>
      <c r="U23" s="1118" t="s">
        <v>4744</v>
      </c>
      <c r="V23" s="1118"/>
      <c r="W23" s="1118"/>
      <c r="X23" s="1118"/>
      <c r="Y23" s="1118"/>
      <c r="Z23" s="1118"/>
      <c r="AA23" s="1118"/>
      <c r="AC23" s="1145"/>
      <c r="AD23" s="1145"/>
      <c r="AE23" t="s">
        <v>1329</v>
      </c>
      <c r="AF23" s="967">
        <v>31.11</v>
      </c>
      <c r="AG23" s="558">
        <v>30.5</v>
      </c>
      <c r="AH23" s="558">
        <v>30.05</v>
      </c>
      <c r="AI23" s="558">
        <v>29.82</v>
      </c>
      <c r="AJ23" s="558">
        <v>29.59</v>
      </c>
      <c r="AK23" s="558">
        <v>29.44</v>
      </c>
      <c r="AL23" s="970">
        <v>29.28</v>
      </c>
      <c r="AM23" s="967">
        <v>36.72</v>
      </c>
      <c r="AN23" s="558">
        <v>34.72</v>
      </c>
      <c r="AO23" s="558">
        <v>33.380000000000003</v>
      </c>
      <c r="AP23" s="558">
        <v>32.880000000000003</v>
      </c>
      <c r="AQ23" s="558">
        <v>32.380000000000003</v>
      </c>
      <c r="AR23" s="558">
        <v>32.21</v>
      </c>
      <c r="AS23" s="970">
        <v>32.049999999999997</v>
      </c>
      <c r="AT23" s="967">
        <v>54.77</v>
      </c>
      <c r="AU23" s="558">
        <v>53.02</v>
      </c>
      <c r="AV23" s="558">
        <v>51.61</v>
      </c>
      <c r="AW23" s="558">
        <v>50.730000000000004</v>
      </c>
      <c r="AX23" s="558">
        <v>49.86</v>
      </c>
      <c r="AY23" s="558">
        <v>49.5</v>
      </c>
      <c r="AZ23" s="970">
        <v>49.15</v>
      </c>
      <c r="BA23" s="967">
        <v>28.07</v>
      </c>
      <c r="BB23" s="558">
        <v>28.07</v>
      </c>
      <c r="BC23" s="558">
        <v>28.07</v>
      </c>
      <c r="BD23" s="558">
        <v>28.07</v>
      </c>
      <c r="BE23" s="558">
        <v>28.07</v>
      </c>
      <c r="BF23" s="558">
        <v>28.07</v>
      </c>
      <c r="BG23" s="970">
        <v>28.07</v>
      </c>
      <c r="BH23" s="196">
        <v>28.07</v>
      </c>
      <c r="BI23" s="196">
        <v>28.07</v>
      </c>
      <c r="BJ23" s="196">
        <v>28.07</v>
      </c>
      <c r="BK23" s="196">
        <v>28.07</v>
      </c>
      <c r="BL23" s="196">
        <v>28.07</v>
      </c>
      <c r="BM23" s="196">
        <v>28.07</v>
      </c>
      <c r="BN23" s="196">
        <v>28.07</v>
      </c>
    </row>
    <row r="24" spans="1:66" ht="15.75" thickBot="1" x14ac:dyDescent="0.3">
      <c r="A24" s="88" t="s">
        <v>2016</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45"/>
      <c r="AD24" s="1145"/>
      <c r="AE24" t="s">
        <v>768</v>
      </c>
      <c r="AF24" s="967">
        <v>36.6</v>
      </c>
      <c r="AG24" s="558">
        <v>35.08</v>
      </c>
      <c r="AH24" s="558">
        <v>34.160000000000004</v>
      </c>
      <c r="AI24" s="558">
        <v>33.549999999999997</v>
      </c>
      <c r="AJ24" s="558">
        <v>32.94</v>
      </c>
      <c r="AK24" s="558">
        <v>32.64</v>
      </c>
      <c r="AL24" s="970">
        <v>32.33</v>
      </c>
      <c r="AM24" s="967">
        <v>42.730000000000004</v>
      </c>
      <c r="AN24" s="558">
        <v>39.39</v>
      </c>
      <c r="AO24" s="558">
        <v>37.050000000000004</v>
      </c>
      <c r="AP24" s="558">
        <v>36.050000000000004</v>
      </c>
      <c r="AQ24" s="558">
        <v>35.050000000000004</v>
      </c>
      <c r="AR24" s="558">
        <v>34.72</v>
      </c>
      <c r="AS24" s="970">
        <v>34.380000000000003</v>
      </c>
      <c r="AT24" s="967">
        <v>56.18</v>
      </c>
      <c r="AU24" s="558">
        <v>54.77</v>
      </c>
      <c r="AV24" s="558">
        <v>53.370000000000005</v>
      </c>
      <c r="AW24" s="558">
        <v>52.84</v>
      </c>
      <c r="AX24" s="558">
        <v>52.31</v>
      </c>
      <c r="AY24" s="558">
        <v>52.14</v>
      </c>
      <c r="AZ24" s="970">
        <v>51.96</v>
      </c>
      <c r="BA24" s="967"/>
      <c r="BB24" s="558"/>
      <c r="BC24" s="558"/>
      <c r="BD24" s="558"/>
      <c r="BE24" s="558"/>
      <c r="BF24" s="558"/>
      <c r="BG24" s="970"/>
      <c r="BH24" s="196"/>
      <c r="BI24" s="196"/>
      <c r="BJ24" s="196"/>
      <c r="BK24" s="196"/>
      <c r="BL24" s="196"/>
      <c r="BM24" s="196"/>
      <c r="BN24" s="196"/>
    </row>
    <row r="25" spans="1:66" ht="15.75" thickTop="1" x14ac:dyDescent="0.25">
      <c r="A25" t="s">
        <v>4644</v>
      </c>
      <c r="B25" t="s">
        <v>4645</v>
      </c>
      <c r="C25" t="s">
        <v>4646</v>
      </c>
      <c r="D25" t="s">
        <v>4647</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8">
        <f t="shared" ref="U25:U43" si="21">M25*GWy_PJ</f>
        <v>30.066486048886908</v>
      </c>
      <c r="V25" s="978">
        <f t="shared" ref="V25:V43" si="22">N25*GWy_PJ</f>
        <v>29.268766219170306</v>
      </c>
      <c r="W25" s="978">
        <f t="shared" ref="W25:W43" si="23">O25*GWy_PJ</f>
        <v>28.301313564868597</v>
      </c>
      <c r="X25" s="978">
        <f t="shared" ref="X25:X43" si="24">P25*GWy_PJ</f>
        <v>27.365839184994538</v>
      </c>
      <c r="Y25" s="978">
        <f t="shared" ref="Y25:Y43" si="25">Q25*GWy_PJ</f>
        <v>26.461286066545142</v>
      </c>
      <c r="Z25" s="978">
        <f t="shared" ref="Z25:Z43" si="26">R25*GWy_PJ</f>
        <v>25.586632135128358</v>
      </c>
      <c r="AA25" s="978">
        <f t="shared" ref="AA25:AA43" si="27">S25*GWy_PJ</f>
        <v>24.740889100098816</v>
      </c>
      <c r="AC25" s="1145" t="s">
        <v>4725</v>
      </c>
      <c r="AD25" s="1145" t="s">
        <v>4726</v>
      </c>
      <c r="AE25" t="s">
        <v>766</v>
      </c>
      <c r="AF25" s="967">
        <v>3.3E-3</v>
      </c>
      <c r="AG25" s="558">
        <v>3.1000000000000003E-3</v>
      </c>
      <c r="AH25" s="558">
        <v>2.9000000000000002E-3</v>
      </c>
      <c r="AI25" s="558">
        <v>2.8E-3</v>
      </c>
      <c r="AJ25" s="558">
        <v>2.8E-3</v>
      </c>
      <c r="AK25" s="558">
        <v>2.8E-3</v>
      </c>
      <c r="AL25" s="970">
        <v>2.8E-3</v>
      </c>
      <c r="AM25" s="967">
        <v>2.9000000000000002E-3</v>
      </c>
      <c r="AN25" s="558">
        <v>2.6000000000000003E-3</v>
      </c>
      <c r="AO25" s="558">
        <v>2.3E-3</v>
      </c>
      <c r="AP25" s="558">
        <v>2.2000000000000001E-3</v>
      </c>
      <c r="AQ25" s="558">
        <v>2.1000000000000003E-3</v>
      </c>
      <c r="AR25" s="558">
        <v>2.1000000000000003E-3</v>
      </c>
      <c r="AS25" s="970">
        <v>2.1000000000000003E-3</v>
      </c>
      <c r="AT25" s="967">
        <v>7.9000000000000008E-3</v>
      </c>
      <c r="AU25" s="558">
        <v>7.0000000000000001E-3</v>
      </c>
      <c r="AV25" s="558">
        <v>6.4000000000000003E-3</v>
      </c>
      <c r="AW25" s="558">
        <v>6.1000000000000004E-3</v>
      </c>
      <c r="AX25" s="558">
        <v>5.7000000000000002E-3</v>
      </c>
      <c r="AY25" s="558">
        <v>5.7000000000000002E-3</v>
      </c>
      <c r="AZ25" s="970">
        <v>5.7000000000000002E-3</v>
      </c>
      <c r="BA25" s="967"/>
      <c r="BB25" s="558"/>
      <c r="BC25" s="558"/>
      <c r="BD25" s="558"/>
      <c r="BE25" s="558"/>
      <c r="BF25" s="558"/>
      <c r="BG25" s="970"/>
      <c r="BH25" s="196"/>
      <c r="BI25" s="196"/>
      <c r="BJ25" s="196"/>
      <c r="BK25" s="196"/>
      <c r="BL25" s="196"/>
      <c r="BM25" s="196"/>
      <c r="BN25" s="196"/>
    </row>
    <row r="26" spans="1:66" x14ac:dyDescent="0.25">
      <c r="B26" t="s">
        <v>4648</v>
      </c>
      <c r="C26" t="s">
        <v>4646</v>
      </c>
      <c r="D26" t="s">
        <v>4647</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8">
        <f t="shared" si="21"/>
        <v>49.865512409750657</v>
      </c>
      <c r="V26" s="978">
        <f t="shared" si="22"/>
        <v>49.092149322467833</v>
      </c>
      <c r="W26" s="978">
        <f t="shared" si="23"/>
        <v>48.142290262361207</v>
      </c>
      <c r="X26" s="978">
        <f t="shared" si="24"/>
        <v>47.210809542712646</v>
      </c>
      <c r="Y26" s="978">
        <f t="shared" si="25"/>
        <v>46.297351570348191</v>
      </c>
      <c r="Z26" s="978">
        <f t="shared" si="26"/>
        <v>45.401567632285612</v>
      </c>
      <c r="AA26" s="978">
        <f t="shared" si="27"/>
        <v>44.523115762612967</v>
      </c>
      <c r="AC26" s="1145"/>
      <c r="AD26" s="1145"/>
      <c r="AE26" t="s">
        <v>1329</v>
      </c>
      <c r="AF26" s="967">
        <v>4.5000000000000005E-3</v>
      </c>
      <c r="AG26" s="558">
        <v>4.3E-3</v>
      </c>
      <c r="AH26" s="558">
        <v>4.2000000000000006E-3</v>
      </c>
      <c r="AI26" s="558">
        <v>4.1000000000000003E-3</v>
      </c>
      <c r="AJ26" s="558">
        <v>4.0000000000000001E-3</v>
      </c>
      <c r="AK26" s="558">
        <v>4.0000000000000001E-3</v>
      </c>
      <c r="AL26" s="970">
        <v>4.0000000000000001E-3</v>
      </c>
      <c r="AM26" s="967">
        <v>3.9000000000000003E-3</v>
      </c>
      <c r="AN26" s="558">
        <v>3.5000000000000001E-3</v>
      </c>
      <c r="AO26" s="558">
        <v>3.1000000000000003E-3</v>
      </c>
      <c r="AP26" s="558">
        <v>3.0000000000000001E-3</v>
      </c>
      <c r="AQ26" s="558">
        <v>2.9000000000000002E-3</v>
      </c>
      <c r="AR26" s="558">
        <v>2.9000000000000002E-3</v>
      </c>
      <c r="AS26" s="970">
        <v>2.9000000000000002E-3</v>
      </c>
      <c r="AT26" s="967">
        <v>1.1900000000000001E-2</v>
      </c>
      <c r="AU26" s="558">
        <v>1.0400000000000001E-2</v>
      </c>
      <c r="AV26" s="558">
        <v>9.0000000000000011E-3</v>
      </c>
      <c r="AW26" s="558">
        <v>8.3000000000000001E-3</v>
      </c>
      <c r="AX26" s="558">
        <v>7.6E-3</v>
      </c>
      <c r="AY26" s="558">
        <v>7.5000000000000006E-3</v>
      </c>
      <c r="AZ26" s="970">
        <v>7.5000000000000006E-3</v>
      </c>
      <c r="BA26" s="967">
        <v>1E-4</v>
      </c>
      <c r="BB26" s="558">
        <v>1E-4</v>
      </c>
      <c r="BC26" s="558">
        <v>1E-4</v>
      </c>
      <c r="BD26" s="558">
        <v>1E-4</v>
      </c>
      <c r="BE26" s="558">
        <v>1E-4</v>
      </c>
      <c r="BF26" s="558">
        <v>1E-4</v>
      </c>
      <c r="BG26" s="970">
        <v>1E-4</v>
      </c>
      <c r="BH26" s="196">
        <v>1E-4</v>
      </c>
      <c r="BI26" s="196">
        <v>1E-4</v>
      </c>
      <c r="BJ26" s="196">
        <v>1E-4</v>
      </c>
      <c r="BK26" s="196">
        <v>1E-4</v>
      </c>
      <c r="BL26" s="196">
        <v>1E-4</v>
      </c>
      <c r="BM26" s="196">
        <v>1E-4</v>
      </c>
      <c r="BN26" s="196">
        <v>1E-4</v>
      </c>
    </row>
    <row r="27" spans="1:66" x14ac:dyDescent="0.25">
      <c r="B27" t="s">
        <v>4649</v>
      </c>
      <c r="C27" t="s">
        <v>4646</v>
      </c>
      <c r="D27" t="s">
        <v>4650</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9">
        <f t="shared" si="21"/>
        <v>169.97370703472842</v>
      </c>
      <c r="V27" s="959">
        <f t="shared" si="22"/>
        <v>169.97370703472842</v>
      </c>
      <c r="W27" s="959">
        <f t="shared" si="23"/>
        <v>169.97370703472842</v>
      </c>
      <c r="X27" s="959">
        <f t="shared" si="24"/>
        <v>169.97370703472842</v>
      </c>
      <c r="Y27" s="959">
        <f t="shared" si="25"/>
        <v>169.97370703472842</v>
      </c>
      <c r="Z27" s="959">
        <f t="shared" si="26"/>
        <v>169.97370703472842</v>
      </c>
      <c r="AA27" s="959">
        <f t="shared" si="27"/>
        <v>169.97370703472842</v>
      </c>
      <c r="AC27" s="1145"/>
      <c r="AD27" s="1145"/>
      <c r="AE27" t="s">
        <v>768</v>
      </c>
      <c r="AF27" s="967">
        <v>6.8000000000000005E-3</v>
      </c>
      <c r="AG27" s="558">
        <v>6.4000000000000003E-3</v>
      </c>
      <c r="AH27" s="558">
        <v>6.1000000000000004E-3</v>
      </c>
      <c r="AI27" s="558">
        <v>5.8999999999999999E-3</v>
      </c>
      <c r="AJ27" s="558">
        <v>5.8000000000000005E-3</v>
      </c>
      <c r="AK27" s="558">
        <v>5.7000000000000002E-3</v>
      </c>
      <c r="AL27" s="970">
        <v>5.7000000000000002E-3</v>
      </c>
      <c r="AM27" s="967">
        <v>8.8999999999999999E-3</v>
      </c>
      <c r="AN27" s="558">
        <v>7.6E-3</v>
      </c>
      <c r="AO27" s="558">
        <v>6.5000000000000006E-3</v>
      </c>
      <c r="AP27" s="558">
        <v>6.2000000000000006E-3</v>
      </c>
      <c r="AQ27" s="558">
        <v>5.8000000000000005E-3</v>
      </c>
      <c r="AR27" s="558">
        <v>5.7000000000000002E-3</v>
      </c>
      <c r="AS27" s="970">
        <v>5.7000000000000002E-3</v>
      </c>
      <c r="AT27" s="967">
        <v>2.01E-2</v>
      </c>
      <c r="AU27" s="558">
        <v>1.78E-2</v>
      </c>
      <c r="AV27" s="558">
        <v>1.5600000000000001E-2</v>
      </c>
      <c r="AW27" s="558">
        <v>1.49E-2</v>
      </c>
      <c r="AX27" s="558">
        <v>1.4200000000000001E-2</v>
      </c>
      <c r="AY27" s="558">
        <v>1.4200000000000001E-2</v>
      </c>
      <c r="AZ27" s="970">
        <v>1.4100000000000001E-2</v>
      </c>
      <c r="BA27" s="967"/>
      <c r="BB27" s="558"/>
      <c r="BC27" s="558"/>
      <c r="BD27" s="558"/>
      <c r="BE27" s="558"/>
      <c r="BF27" s="558"/>
      <c r="BG27" s="970"/>
      <c r="BH27" s="196"/>
      <c r="BI27" s="196"/>
      <c r="BJ27" s="196"/>
      <c r="BK27" s="196"/>
      <c r="BL27" s="196"/>
      <c r="BM27" s="196"/>
      <c r="BN27" s="196"/>
    </row>
    <row r="28" spans="1:66" x14ac:dyDescent="0.25">
      <c r="B28" t="s">
        <v>4651</v>
      </c>
      <c r="C28" t="s">
        <v>4646</v>
      </c>
      <c r="D28" t="s">
        <v>4675</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9">
        <f t="shared" si="21"/>
        <v>271.25940917186108</v>
      </c>
      <c r="V28" s="959">
        <f t="shared" si="22"/>
        <v>271.25940917186108</v>
      </c>
      <c r="W28" s="959">
        <f t="shared" si="23"/>
        <v>271.25940917186108</v>
      </c>
      <c r="X28" s="959">
        <f t="shared" si="24"/>
        <v>271.25940917186108</v>
      </c>
      <c r="Y28" s="959">
        <f t="shared" si="25"/>
        <v>271.25940917186108</v>
      </c>
      <c r="Z28" s="959">
        <f t="shared" si="26"/>
        <v>271.25940917186108</v>
      </c>
      <c r="AA28" s="959">
        <f t="shared" si="27"/>
        <v>271.25940917186108</v>
      </c>
      <c r="AC28" s="202" t="s">
        <v>4727</v>
      </c>
      <c r="AD28" s="202" t="s">
        <v>4710</v>
      </c>
      <c r="AE28" s="202"/>
      <c r="AF28" s="973">
        <v>0.1</v>
      </c>
      <c r="AG28" s="974">
        <v>0.1</v>
      </c>
      <c r="AH28" s="974">
        <v>0.1</v>
      </c>
      <c r="AI28" s="974">
        <v>0.1</v>
      </c>
      <c r="AJ28" s="974">
        <v>0.1</v>
      </c>
      <c r="AK28" s="974">
        <v>0.1</v>
      </c>
      <c r="AL28" s="975">
        <v>0.1</v>
      </c>
      <c r="AM28" s="973">
        <v>0.1</v>
      </c>
      <c r="AN28" s="974">
        <v>0.1</v>
      </c>
      <c r="AO28" s="974">
        <v>0.1</v>
      </c>
      <c r="AP28" s="974">
        <v>0.1</v>
      </c>
      <c r="AQ28" s="974">
        <v>0.1</v>
      </c>
      <c r="AR28" s="974">
        <v>0.1</v>
      </c>
      <c r="AS28" s="975">
        <v>0.1</v>
      </c>
      <c r="AT28" s="973">
        <v>0.1</v>
      </c>
      <c r="AU28" s="974">
        <v>0.1</v>
      </c>
      <c r="AV28" s="974">
        <v>0.1</v>
      </c>
      <c r="AW28" s="974">
        <v>0.1</v>
      </c>
      <c r="AX28" s="974">
        <v>0.1</v>
      </c>
      <c r="AY28" s="974">
        <v>0.1</v>
      </c>
      <c r="AZ28" s="975">
        <v>0.1</v>
      </c>
      <c r="BA28" s="973">
        <v>0.1</v>
      </c>
      <c r="BB28" s="974">
        <v>0.1</v>
      </c>
      <c r="BC28" s="974">
        <v>0.1</v>
      </c>
      <c r="BD28" s="974">
        <v>0.1</v>
      </c>
      <c r="BE28" s="974">
        <v>0.1</v>
      </c>
      <c r="BF28" s="974">
        <v>0.1</v>
      </c>
      <c r="BG28" s="975">
        <v>0.1</v>
      </c>
      <c r="BH28" s="974">
        <v>0.1</v>
      </c>
      <c r="BI28" s="974">
        <v>0.1</v>
      </c>
      <c r="BJ28" s="974">
        <v>0.1</v>
      </c>
      <c r="BK28" s="974">
        <v>0.1</v>
      </c>
      <c r="BL28" s="974">
        <v>0.1</v>
      </c>
      <c r="BM28" s="974">
        <v>0.1</v>
      </c>
      <c r="BN28" s="974">
        <v>0.1</v>
      </c>
    </row>
    <row r="29" spans="1:66" x14ac:dyDescent="0.25">
      <c r="B29" t="s">
        <v>4652</v>
      </c>
      <c r="C29" t="s">
        <v>4646</v>
      </c>
      <c r="D29" t="s">
        <v>4650</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9">
        <f t="shared" si="21"/>
        <v>355.08205921638466</v>
      </c>
      <c r="V29" s="959">
        <f t="shared" si="22"/>
        <v>355.08205921638466</v>
      </c>
      <c r="W29" s="959">
        <f t="shared" si="23"/>
        <v>355.08205921638466</v>
      </c>
      <c r="X29" s="959">
        <f t="shared" si="24"/>
        <v>355.08205921638466</v>
      </c>
      <c r="Y29" s="959">
        <f t="shared" si="25"/>
        <v>355.08205921638466</v>
      </c>
      <c r="Z29" s="959">
        <f t="shared" si="26"/>
        <v>355.08205921638466</v>
      </c>
      <c r="AA29" s="959">
        <f t="shared" si="27"/>
        <v>355.08205921638466</v>
      </c>
      <c r="AC29" s="61" t="s">
        <v>4729</v>
      </c>
    </row>
    <row r="30" spans="1:66" x14ac:dyDescent="0.25">
      <c r="B30" t="s">
        <v>4653</v>
      </c>
      <c r="C30" t="s">
        <v>4646</v>
      </c>
      <c r="D30" t="s">
        <v>4654</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8">
        <f t="shared" si="21"/>
        <v>36.218370040071235</v>
      </c>
      <c r="V30" s="978">
        <f t="shared" si="22"/>
        <v>35.915092728836974</v>
      </c>
      <c r="W30" s="978">
        <f t="shared" si="23"/>
        <v>35.539564788167723</v>
      </c>
      <c r="X30" s="978">
        <f t="shared" si="24"/>
        <v>35.167963364834449</v>
      </c>
      <c r="Y30" s="978">
        <f t="shared" si="25"/>
        <v>34.800247403201304</v>
      </c>
      <c r="Z30" s="978">
        <f t="shared" si="26"/>
        <v>34.436376276909833</v>
      </c>
      <c r="AA30" s="978">
        <f t="shared" si="27"/>
        <v>34.076309784390489</v>
      </c>
    </row>
    <row r="31" spans="1:66" x14ac:dyDescent="0.25">
      <c r="B31" t="s">
        <v>4655</v>
      </c>
      <c r="C31" t="s">
        <v>4646</v>
      </c>
      <c r="D31" t="s">
        <v>4654</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8">
        <f t="shared" si="21"/>
        <v>42.749551522707037</v>
      </c>
      <c r="V31" s="978">
        <f t="shared" si="22"/>
        <v>41.951508246952613</v>
      </c>
      <c r="W31" s="978">
        <f t="shared" si="23"/>
        <v>40.974871438265346</v>
      </c>
      <c r="X31" s="978">
        <f t="shared" si="24"/>
        <v>40.020970867104211</v>
      </c>
      <c r="Y31" s="978">
        <f t="shared" si="25"/>
        <v>39.089277230772211</v>
      </c>
      <c r="Z31" s="978">
        <f t="shared" si="26"/>
        <v>38.179273548810983</v>
      </c>
      <c r="AA31" s="978">
        <f t="shared" si="27"/>
        <v>37.290454876137446</v>
      </c>
      <c r="AF31" s="1118" t="s">
        <v>4685</v>
      </c>
      <c r="AG31" s="1118"/>
      <c r="AH31" s="1118"/>
      <c r="AI31" s="1118"/>
      <c r="AJ31" s="1118"/>
      <c r="AK31" s="1118"/>
      <c r="AL31" s="1118"/>
      <c r="AM31" s="1118" t="s">
        <v>4685</v>
      </c>
      <c r="AN31" s="1118"/>
      <c r="AO31" s="1118"/>
      <c r="AP31" s="1118"/>
      <c r="AQ31" s="1118"/>
      <c r="AR31" s="1118"/>
      <c r="AS31" s="1118"/>
      <c r="AT31" s="1118" t="s">
        <v>4685</v>
      </c>
      <c r="AU31" s="1118"/>
      <c r="AV31" s="1118"/>
      <c r="AW31" s="1118"/>
      <c r="AX31" s="1118"/>
      <c r="AY31" s="1118"/>
      <c r="AZ31" s="1118"/>
      <c r="BA31" s="1118" t="s">
        <v>4685</v>
      </c>
      <c r="BB31" s="1118"/>
      <c r="BC31" s="1118"/>
      <c r="BD31" s="1118"/>
      <c r="BE31" s="1118"/>
      <c r="BF31" s="1118"/>
      <c r="BG31" s="1118"/>
      <c r="BH31" s="1118" t="s">
        <v>4685</v>
      </c>
      <c r="BI31" s="1118"/>
      <c r="BJ31" s="1118"/>
      <c r="BK31" s="1118"/>
      <c r="BL31" s="1118"/>
      <c r="BM31" s="1118"/>
      <c r="BN31" s="1118"/>
    </row>
    <row r="32" spans="1:66" ht="15.75" thickBot="1" x14ac:dyDescent="0.3">
      <c r="B32" t="s">
        <v>4656</v>
      </c>
      <c r="C32" t="s">
        <v>4646</v>
      </c>
      <c r="D32" t="s">
        <v>4654</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9">
        <f t="shared" si="21"/>
        <v>63.763424207479957</v>
      </c>
      <c r="V32" s="959">
        <f t="shared" si="22"/>
        <v>62.817383499473465</v>
      </c>
      <c r="W32" s="959">
        <f t="shared" si="23"/>
        <v>61.654546478554579</v>
      </c>
      <c r="X32" s="959">
        <f t="shared" si="24"/>
        <v>60.51323518605497</v>
      </c>
      <c r="Y32" s="959">
        <f t="shared" si="25"/>
        <v>59.393051150842716</v>
      </c>
      <c r="Z32" s="959">
        <f t="shared" si="26"/>
        <v>58.293603278039996</v>
      </c>
      <c r="AA32" s="959">
        <f t="shared" si="27"/>
        <v>57.214507712478408</v>
      </c>
      <c r="AE32" s="110" t="s">
        <v>4731</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4657</v>
      </c>
      <c r="B33" t="s">
        <v>4658</v>
      </c>
      <c r="C33" t="s">
        <v>4659</v>
      </c>
      <c r="D33" t="s">
        <v>4660</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9">
        <f t="shared" si="21"/>
        <v>1760.2756509349954</v>
      </c>
      <c r="V33" s="959">
        <f t="shared" si="22"/>
        <v>1628.930332116777</v>
      </c>
      <c r="W33" s="959">
        <f t="shared" si="23"/>
        <v>1478.4437177162831</v>
      </c>
      <c r="X33" s="959">
        <f t="shared" si="24"/>
        <v>1341.8596138573503</v>
      </c>
      <c r="Y33" s="959">
        <f t="shared" si="25"/>
        <v>1217.8936551488903</v>
      </c>
      <c r="Z33" s="959">
        <f t="shared" si="26"/>
        <v>1105.3801306293769</v>
      </c>
      <c r="AA33" s="959">
        <f t="shared" si="27"/>
        <v>1003.2610220313881</v>
      </c>
      <c r="AE33" s="811" t="s">
        <v>766</v>
      </c>
      <c r="AF33" s="959">
        <f t="shared" ref="AF33:AZ33" si="28">AF15*GBP2020_to_CAD2020</f>
        <v>1254.563856</v>
      </c>
      <c r="AG33" s="959">
        <f t="shared" si="28"/>
        <v>997.07762700000001</v>
      </c>
      <c r="AH33" s="959">
        <f t="shared" si="28"/>
        <v>849.02863500000001</v>
      </c>
      <c r="AI33" s="959">
        <f t="shared" si="28"/>
        <v>804.60361799999998</v>
      </c>
      <c r="AJ33" s="959">
        <f t="shared" si="28"/>
        <v>760.60857599999997</v>
      </c>
      <c r="AK33" s="959">
        <f t="shared" si="28"/>
        <v>749.25723599999992</v>
      </c>
      <c r="AL33" s="977">
        <f t="shared" si="28"/>
        <v>737.90589599999998</v>
      </c>
      <c r="AM33" s="959">
        <f t="shared" si="28"/>
        <v>1640.0794410000001</v>
      </c>
      <c r="AN33" s="959">
        <f t="shared" si="28"/>
        <v>1032.593562</v>
      </c>
      <c r="AO33" s="959">
        <f t="shared" si="28"/>
        <v>745.284267</v>
      </c>
      <c r="AP33" s="959">
        <f t="shared" si="28"/>
        <v>674.04600900000003</v>
      </c>
      <c r="AQ33" s="959">
        <f t="shared" si="28"/>
        <v>617.73648300000002</v>
      </c>
      <c r="AR33" s="959">
        <f t="shared" si="28"/>
        <v>590.20088400000009</v>
      </c>
      <c r="AS33" s="977">
        <f t="shared" si="28"/>
        <v>576.08050500000002</v>
      </c>
      <c r="AT33" s="959">
        <f t="shared" si="28"/>
        <v>2323.636497</v>
      </c>
      <c r="AU33" s="959">
        <f t="shared" si="28"/>
        <v>1532.585691</v>
      </c>
      <c r="AV33" s="959">
        <f t="shared" si="28"/>
        <v>1175.104476</v>
      </c>
      <c r="AW33" s="959">
        <f t="shared" si="28"/>
        <v>1083.3134130000001</v>
      </c>
      <c r="AX33" s="959">
        <f t="shared" si="28"/>
        <v>992.74347900000009</v>
      </c>
      <c r="AY33" s="959">
        <f t="shared" si="28"/>
        <v>949.29880500000002</v>
      </c>
      <c r="AZ33" s="977">
        <f t="shared" si="28"/>
        <v>906.02612099999988</v>
      </c>
      <c r="BA33" s="959"/>
      <c r="BB33" s="959"/>
      <c r="BC33" s="959"/>
      <c r="BD33" s="959"/>
      <c r="BE33" s="959"/>
      <c r="BF33" s="959"/>
      <c r="BG33" s="977"/>
      <c r="BH33" s="959"/>
      <c r="BI33" s="959"/>
      <c r="BJ33" s="959"/>
      <c r="BK33" s="959"/>
      <c r="BL33" s="959"/>
      <c r="BM33" s="959"/>
      <c r="BN33" s="959"/>
    </row>
    <row r="34" spans="1:66" x14ac:dyDescent="0.25">
      <c r="B34" t="s">
        <v>4661</v>
      </c>
      <c r="C34" t="s">
        <v>4646</v>
      </c>
      <c r="D34" t="s">
        <v>4660</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9">
        <f t="shared" si="21"/>
        <v>206.31408561525845</v>
      </c>
      <c r="V34" s="959">
        <f t="shared" si="22"/>
        <v>184.08364619491877</v>
      </c>
      <c r="W34" s="959">
        <f t="shared" si="23"/>
        <v>159.63316286922972</v>
      </c>
      <c r="X34" s="959">
        <f t="shared" si="24"/>
        <v>138.43025827862706</v>
      </c>
      <c r="Y34" s="959">
        <f t="shared" si="25"/>
        <v>120.04358031034903</v>
      </c>
      <c r="Z34" s="959">
        <f t="shared" si="26"/>
        <v>104.09907019549435</v>
      </c>
      <c r="AA34" s="959">
        <f t="shared" si="27"/>
        <v>90.272352653515725</v>
      </c>
      <c r="AE34" s="811" t="s">
        <v>1329</v>
      </c>
      <c r="AF34" s="959">
        <f t="shared" ref="AF34:AZ34" si="29">AF16*GBP2020_to_CAD2020</f>
        <v>1478.2368510000001</v>
      </c>
      <c r="AG34" s="959">
        <f t="shared" si="29"/>
        <v>1280.1731670000001</v>
      </c>
      <c r="AH34" s="959">
        <f t="shared" si="29"/>
        <v>1153.9153079999999</v>
      </c>
      <c r="AI34" s="959">
        <f t="shared" si="29"/>
        <v>1121.5123920000001</v>
      </c>
      <c r="AJ34" s="959">
        <f t="shared" si="29"/>
        <v>1089.4706550000001</v>
      </c>
      <c r="AK34" s="959">
        <f t="shared" si="29"/>
        <v>1072.202859</v>
      </c>
      <c r="AL34" s="977">
        <f t="shared" si="29"/>
        <v>1055.055456</v>
      </c>
      <c r="AM34" s="959">
        <f t="shared" si="29"/>
        <v>1992.7277370000002</v>
      </c>
      <c r="AN34" s="959">
        <f t="shared" si="29"/>
        <v>1256.0257709999998</v>
      </c>
      <c r="AO34" s="959">
        <f t="shared" si="29"/>
        <v>966.17102399999999</v>
      </c>
      <c r="AP34" s="959">
        <f t="shared" si="29"/>
        <v>892.198125</v>
      </c>
      <c r="AQ34" s="959">
        <f t="shared" si="29"/>
        <v>820.03112099999998</v>
      </c>
      <c r="AR34" s="959">
        <f t="shared" si="29"/>
        <v>804.15644399999996</v>
      </c>
      <c r="AS34" s="977">
        <f t="shared" si="29"/>
        <v>788.40216000000009</v>
      </c>
      <c r="AT34" s="959">
        <f t="shared" si="29"/>
        <v>3089.80035</v>
      </c>
      <c r="AU34" s="959">
        <f t="shared" si="29"/>
        <v>2243.0763809999999</v>
      </c>
      <c r="AV34" s="959">
        <f t="shared" si="29"/>
        <v>1775.332377</v>
      </c>
      <c r="AW34" s="959">
        <f t="shared" si="29"/>
        <v>1570.6298790000001</v>
      </c>
      <c r="AX34" s="959">
        <f t="shared" si="29"/>
        <v>1371.96423</v>
      </c>
      <c r="AY34" s="959">
        <f t="shared" si="29"/>
        <v>1277.1461430000002</v>
      </c>
      <c r="AZ34" s="977">
        <f t="shared" si="29"/>
        <v>1183.5491849999999</v>
      </c>
      <c r="BA34" s="959">
        <f t="shared" ref="BA34:BN34" si="30">BA16*GBP2020_to_CAD2020</f>
        <v>1331.3401920000001</v>
      </c>
      <c r="BB34" s="959">
        <f t="shared" si="30"/>
        <v>1250.7972749999999</v>
      </c>
      <c r="BC34" s="959">
        <f t="shared" si="30"/>
        <v>1172.7826109999999</v>
      </c>
      <c r="BD34" s="959">
        <f t="shared" si="30"/>
        <v>1099.7900550000002</v>
      </c>
      <c r="BE34" s="959">
        <f t="shared" si="30"/>
        <v>1031.8540050000001</v>
      </c>
      <c r="BF34" s="959">
        <f t="shared" si="30"/>
        <v>968.922864</v>
      </c>
      <c r="BG34" s="977">
        <f t="shared" si="30"/>
        <v>908.53717500000005</v>
      </c>
      <c r="BH34" s="959">
        <f t="shared" si="30"/>
        <v>1006.1071020000001</v>
      </c>
      <c r="BI34" s="959">
        <f t="shared" si="30"/>
        <v>945.23984100000007</v>
      </c>
      <c r="BJ34" s="959">
        <f t="shared" si="30"/>
        <v>886.28166900000008</v>
      </c>
      <c r="BK34" s="959">
        <f t="shared" si="30"/>
        <v>831.14167499999996</v>
      </c>
      <c r="BL34" s="959">
        <f t="shared" si="30"/>
        <v>779.78546099999994</v>
      </c>
      <c r="BM34" s="959">
        <f t="shared" si="30"/>
        <v>732.23022600000002</v>
      </c>
      <c r="BN34" s="959">
        <f t="shared" si="30"/>
        <v>686.58407999999997</v>
      </c>
    </row>
    <row r="35" spans="1:66" x14ac:dyDescent="0.25">
      <c r="B35" t="s">
        <v>4662</v>
      </c>
      <c r="C35" t="s">
        <v>4646</v>
      </c>
      <c r="D35" t="s">
        <v>4660</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9">
        <f t="shared" si="21"/>
        <v>206.31408561525845</v>
      </c>
      <c r="V35" s="959">
        <f t="shared" si="22"/>
        <v>184.08364619491877</v>
      </c>
      <c r="W35" s="959">
        <f t="shared" si="23"/>
        <v>159.63316286922972</v>
      </c>
      <c r="X35" s="959">
        <f t="shared" si="24"/>
        <v>138.43025827862706</v>
      </c>
      <c r="Y35" s="959">
        <f t="shared" si="25"/>
        <v>120.04358031034903</v>
      </c>
      <c r="Z35" s="959">
        <f t="shared" si="26"/>
        <v>104.09907019549435</v>
      </c>
      <c r="AA35" s="959">
        <f t="shared" si="27"/>
        <v>90.272352653515725</v>
      </c>
      <c r="AE35" s="811" t="s">
        <v>768</v>
      </c>
      <c r="AF35" s="959">
        <f t="shared" ref="AF35:AZ35" si="31">AF17*GBP2020_to_CAD2020</f>
        <v>2028.9488310000002</v>
      </c>
      <c r="AG35" s="959">
        <f t="shared" si="31"/>
        <v>1777.7574360000001</v>
      </c>
      <c r="AH35" s="959">
        <f t="shared" si="31"/>
        <v>1677.2636790000001</v>
      </c>
      <c r="AI35" s="959">
        <f t="shared" si="31"/>
        <v>1620.7477650000001</v>
      </c>
      <c r="AJ35" s="959">
        <f t="shared" si="31"/>
        <v>1565.1949950000001</v>
      </c>
      <c r="AK35" s="959">
        <f t="shared" si="31"/>
        <v>1537.7797889999999</v>
      </c>
      <c r="AL35" s="977">
        <f t="shared" si="31"/>
        <v>1510.6053690000001</v>
      </c>
      <c r="AM35" s="959">
        <f t="shared" si="31"/>
        <v>3246.3284490000001</v>
      </c>
      <c r="AN35" s="959">
        <f t="shared" si="31"/>
        <v>2508.181767</v>
      </c>
      <c r="AO35" s="959">
        <f t="shared" si="31"/>
        <v>2091.2780069999999</v>
      </c>
      <c r="AP35" s="959">
        <f t="shared" si="31"/>
        <v>1878.2339939999999</v>
      </c>
      <c r="AQ35" s="959">
        <f t="shared" si="31"/>
        <v>1673.8926750000001</v>
      </c>
      <c r="AR35" s="959">
        <f t="shared" si="31"/>
        <v>1607.7109229999999</v>
      </c>
      <c r="AS35" s="977">
        <f t="shared" si="31"/>
        <v>1542.492315</v>
      </c>
      <c r="AT35" s="959">
        <f t="shared" si="31"/>
        <v>4444.3763909999998</v>
      </c>
      <c r="AU35" s="959">
        <f t="shared" si="31"/>
        <v>3579.662268</v>
      </c>
      <c r="AV35" s="959">
        <f t="shared" si="31"/>
        <v>2937.1592249999999</v>
      </c>
      <c r="AW35" s="959">
        <f t="shared" si="31"/>
        <v>2726.4026790000003</v>
      </c>
      <c r="AX35" s="959">
        <f t="shared" si="31"/>
        <v>2429.3071530000002</v>
      </c>
      <c r="AY35" s="959">
        <f t="shared" si="31"/>
        <v>2331.479241</v>
      </c>
      <c r="AZ35" s="977">
        <f t="shared" si="31"/>
        <v>2234.270493</v>
      </c>
      <c r="BA35" s="959"/>
      <c r="BB35" s="959"/>
      <c r="BC35" s="959"/>
      <c r="BD35" s="959"/>
      <c r="BE35" s="959"/>
      <c r="BF35" s="959"/>
      <c r="BG35" s="977"/>
      <c r="BH35" s="959"/>
      <c r="BI35" s="959"/>
      <c r="BJ35" s="959"/>
      <c r="BK35" s="959"/>
      <c r="BL35" s="959"/>
      <c r="BM35" s="959"/>
      <c r="BN35" s="959"/>
    </row>
    <row r="36" spans="1:66" x14ac:dyDescent="0.25">
      <c r="B36" t="s">
        <v>4663</v>
      </c>
      <c r="C36" t="s">
        <v>4646</v>
      </c>
      <c r="D36" t="s">
        <v>4664</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9">
        <f t="shared" si="21"/>
        <v>28.637170161211042</v>
      </c>
      <c r="V36" s="959">
        <f t="shared" si="22"/>
        <v>25.320931743209066</v>
      </c>
      <c r="W36" s="959">
        <f t="shared" si="23"/>
        <v>21.710341784424745</v>
      </c>
      <c r="X36" s="959">
        <f t="shared" si="24"/>
        <v>18.614597013119376</v>
      </c>
      <c r="Y36" s="959">
        <f t="shared" si="25"/>
        <v>15.960284061921964</v>
      </c>
      <c r="Z36" s="959">
        <f t="shared" si="26"/>
        <v>13.684457802535762</v>
      </c>
      <c r="AA36" s="959">
        <f t="shared" si="27"/>
        <v>11.733148647157046</v>
      </c>
    </row>
    <row r="37" spans="1:66" x14ac:dyDescent="0.25">
      <c r="B37" t="s">
        <v>4676</v>
      </c>
      <c r="C37" t="s">
        <v>4677</v>
      </c>
      <c r="D37" t="s">
        <v>4677</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9">
        <f t="shared" si="21"/>
        <v>0</v>
      </c>
      <c r="V37" s="959">
        <f t="shared" si="22"/>
        <v>0</v>
      </c>
      <c r="W37" s="959">
        <f t="shared" si="23"/>
        <v>0</v>
      </c>
      <c r="X37" s="959">
        <f t="shared" si="24"/>
        <v>0</v>
      </c>
      <c r="Y37" s="959">
        <f t="shared" si="25"/>
        <v>0</v>
      </c>
      <c r="Z37" s="959">
        <f t="shared" si="26"/>
        <v>0</v>
      </c>
      <c r="AA37" s="959">
        <f t="shared" si="27"/>
        <v>0</v>
      </c>
      <c r="AF37" s="1118" t="s">
        <v>4732</v>
      </c>
      <c r="AG37" s="1118"/>
      <c r="AH37" s="1118"/>
      <c r="AI37" s="1118"/>
      <c r="AJ37" s="1118"/>
      <c r="AK37" s="1118"/>
      <c r="AL37" s="1118"/>
      <c r="AM37" s="1118" t="s">
        <v>4732</v>
      </c>
      <c r="AN37" s="1118"/>
      <c r="AO37" s="1118"/>
      <c r="AP37" s="1118"/>
      <c r="AQ37" s="1118"/>
      <c r="AR37" s="1118"/>
      <c r="AS37" s="1118"/>
      <c r="AT37" s="1118" t="s">
        <v>4732</v>
      </c>
      <c r="AU37" s="1118"/>
      <c r="AV37" s="1118"/>
      <c r="AW37" s="1118"/>
      <c r="AX37" s="1118"/>
      <c r="AY37" s="1118"/>
      <c r="AZ37" s="1118"/>
      <c r="BA37" s="1118" t="s">
        <v>4732</v>
      </c>
      <c r="BB37" s="1118"/>
      <c r="BC37" s="1118"/>
      <c r="BD37" s="1118"/>
      <c r="BE37" s="1118"/>
      <c r="BF37" s="1118"/>
      <c r="BG37" s="1118"/>
      <c r="BH37" s="1118" t="s">
        <v>4732</v>
      </c>
      <c r="BI37" s="1118"/>
      <c r="BJ37" s="1118"/>
      <c r="BK37" s="1118"/>
      <c r="BL37" s="1118"/>
      <c r="BM37" s="1118"/>
      <c r="BN37" s="1118"/>
    </row>
    <row r="38" spans="1:66" ht="15.75" thickBot="1" x14ac:dyDescent="0.3">
      <c r="A38" t="s">
        <v>4665</v>
      </c>
      <c r="B38" t="s">
        <v>4666</v>
      </c>
      <c r="C38" t="s">
        <v>4646</v>
      </c>
      <c r="D38" t="s">
        <v>4667</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9">
        <f t="shared" si="21"/>
        <v>40.688911375779163</v>
      </c>
      <c r="V38" s="959">
        <f t="shared" si="22"/>
        <v>40.688911375779163</v>
      </c>
      <c r="W38" s="959">
        <f t="shared" si="23"/>
        <v>40.688911375779163</v>
      </c>
      <c r="X38" s="959">
        <f t="shared" si="24"/>
        <v>40.688911375779163</v>
      </c>
      <c r="Y38" s="959">
        <f t="shared" si="25"/>
        <v>40.688911375779163</v>
      </c>
      <c r="Z38" s="959">
        <f t="shared" si="26"/>
        <v>40.688911375779163</v>
      </c>
      <c r="AA38" s="959">
        <f t="shared" si="27"/>
        <v>40.688911375779163</v>
      </c>
      <c r="AE38" s="110" t="s">
        <v>4731</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4668</v>
      </c>
      <c r="C39" t="s">
        <v>4646</v>
      </c>
      <c r="D39" t="s">
        <v>4660</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9">
        <f t="shared" si="21"/>
        <v>13.951441873410507</v>
      </c>
      <c r="V39" s="959">
        <f t="shared" si="22"/>
        <v>13.951441873410507</v>
      </c>
      <c r="W39" s="959">
        <f t="shared" si="23"/>
        <v>13.951441873410507</v>
      </c>
      <c r="X39" s="959">
        <f t="shared" si="24"/>
        <v>13.951441873410507</v>
      </c>
      <c r="Y39" s="959">
        <f t="shared" si="25"/>
        <v>13.951441873410507</v>
      </c>
      <c r="Z39" s="959">
        <f t="shared" si="26"/>
        <v>13.951441873410507</v>
      </c>
      <c r="AA39" s="959">
        <f t="shared" si="27"/>
        <v>13.951441873410507</v>
      </c>
      <c r="AE39" s="811"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9">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9">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9">
        <f t="shared" si="34"/>
        <v>1.0640561821664185</v>
      </c>
      <c r="BA39" s="84"/>
      <c r="BB39" s="84"/>
      <c r="BC39" s="84"/>
      <c r="BD39" s="84"/>
      <c r="BE39" s="84"/>
      <c r="BF39" s="84"/>
      <c r="BG39" s="969"/>
      <c r="BH39" s="84"/>
      <c r="BI39" s="84"/>
      <c r="BJ39" s="84"/>
      <c r="BK39" s="84"/>
      <c r="BL39" s="84"/>
      <c r="BM39" s="84"/>
      <c r="BN39" s="84"/>
    </row>
    <row r="40" spans="1:66" x14ac:dyDescent="0.25">
      <c r="B40" t="s">
        <v>4669</v>
      </c>
      <c r="C40" t="s">
        <v>4646</v>
      </c>
      <c r="D40" t="s">
        <v>4678</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9">
        <f t="shared" si="21"/>
        <v>33.878321059661623</v>
      </c>
      <c r="V40" s="959">
        <f t="shared" si="22"/>
        <v>33.878321059661623</v>
      </c>
      <c r="W40" s="959">
        <f t="shared" si="23"/>
        <v>33.878321059661623</v>
      </c>
      <c r="X40" s="959">
        <f t="shared" si="24"/>
        <v>33.878321059661623</v>
      </c>
      <c r="Y40" s="959">
        <f t="shared" si="25"/>
        <v>33.878321059661623</v>
      </c>
      <c r="Z40" s="959">
        <f t="shared" si="26"/>
        <v>33.878321059661623</v>
      </c>
      <c r="AA40" s="959">
        <f t="shared" si="27"/>
        <v>33.878321059661623</v>
      </c>
      <c r="AE40" s="811" t="s">
        <v>1329</v>
      </c>
      <c r="AF40" s="979">
        <f t="shared" ref="AF40:AL41" si="35">1/AF12</f>
        <v>0.77196232823838207</v>
      </c>
      <c r="AG40" s="979">
        <f t="shared" si="35"/>
        <v>0.78740157480314954</v>
      </c>
      <c r="AH40" s="979">
        <f t="shared" si="35"/>
        <v>0.79939246172908585</v>
      </c>
      <c r="AI40" s="979">
        <f t="shared" si="35"/>
        <v>0.80552590772700727</v>
      </c>
      <c r="AJ40" s="979">
        <f t="shared" si="35"/>
        <v>0.81175420082798933</v>
      </c>
      <c r="AK40" s="979">
        <f t="shared" si="35"/>
        <v>0.81596018114316027</v>
      </c>
      <c r="AL40" s="980">
        <f t="shared" si="35"/>
        <v>0.82020997375328075</v>
      </c>
      <c r="AM40" s="979">
        <f t="shared" ref="AM40:AZ40" si="36">1/AM12</f>
        <v>0.71581961345740874</v>
      </c>
      <c r="AN40" s="979">
        <f t="shared" si="36"/>
        <v>0.75711689884918232</v>
      </c>
      <c r="AO40" s="979">
        <f t="shared" si="36"/>
        <v>0.78740157480314954</v>
      </c>
      <c r="AP40" s="979">
        <f t="shared" si="36"/>
        <v>0.79939246172908585</v>
      </c>
      <c r="AQ40" s="979">
        <f t="shared" si="36"/>
        <v>0.81175420082798933</v>
      </c>
      <c r="AR40" s="979">
        <f t="shared" si="36"/>
        <v>0.81596018114316027</v>
      </c>
      <c r="AS40" s="980">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9">
        <f t="shared" si="36"/>
        <v>1.124859392575928</v>
      </c>
      <c r="BA40" s="979">
        <f>1/BA9</f>
        <v>0.73800738007380073</v>
      </c>
      <c r="BB40" s="979">
        <f t="shared" ref="BB40:BN40" si="37">1/BB9</f>
        <v>0.73800738007380073</v>
      </c>
      <c r="BC40" s="979">
        <f t="shared" si="37"/>
        <v>0.73800738007380073</v>
      </c>
      <c r="BD40" s="979">
        <f t="shared" si="37"/>
        <v>0.73800738007380073</v>
      </c>
      <c r="BE40" s="979">
        <f t="shared" si="37"/>
        <v>0.73800738007380073</v>
      </c>
      <c r="BF40" s="979">
        <f t="shared" si="37"/>
        <v>0.73800738007380073</v>
      </c>
      <c r="BG40" s="980">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4670</v>
      </c>
      <c r="C41" t="s">
        <v>4646</v>
      </c>
      <c r="D41" t="s">
        <v>4647</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9">
        <f t="shared" si="21"/>
        <v>33.761900712377553</v>
      </c>
      <c r="V41" s="959">
        <f t="shared" si="22"/>
        <v>33.761900712377553</v>
      </c>
      <c r="W41" s="959">
        <f t="shared" si="23"/>
        <v>33.761900712377553</v>
      </c>
      <c r="X41" s="959">
        <f t="shared" si="24"/>
        <v>33.761900712377553</v>
      </c>
      <c r="Y41" s="959">
        <f t="shared" si="25"/>
        <v>33.761900712377553</v>
      </c>
      <c r="Z41" s="959">
        <f t="shared" si="26"/>
        <v>33.761900712377553</v>
      </c>
      <c r="AA41" s="959">
        <f t="shared" si="27"/>
        <v>33.761900712377553</v>
      </c>
      <c r="AE41" s="811"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9">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9">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9">
        <f t="shared" si="38"/>
        <v>1.1545477636409818</v>
      </c>
      <c r="BA41" s="84"/>
      <c r="BB41" s="84"/>
      <c r="BC41" s="84"/>
      <c r="BD41" s="84"/>
      <c r="BE41" s="84"/>
      <c r="BF41" s="84"/>
      <c r="BG41" s="969"/>
      <c r="BH41" s="84"/>
      <c r="BI41" s="84"/>
      <c r="BJ41" s="84"/>
      <c r="BK41" s="84"/>
      <c r="BL41" s="84"/>
      <c r="BM41" s="84"/>
      <c r="BN41" s="84"/>
    </row>
    <row r="42" spans="1:66" x14ac:dyDescent="0.25">
      <c r="B42" t="s">
        <v>4671</v>
      </c>
      <c r="C42" t="s">
        <v>4646</v>
      </c>
      <c r="D42" t="s">
        <v>4647</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9">
        <f t="shared" si="21"/>
        <v>67.523801424755106</v>
      </c>
      <c r="V42" s="959">
        <f t="shared" si="22"/>
        <v>67.523801424755106</v>
      </c>
      <c r="W42" s="959">
        <f t="shared" si="23"/>
        <v>67.523801424755106</v>
      </c>
      <c r="X42" s="959">
        <f t="shared" si="24"/>
        <v>67.523801424755106</v>
      </c>
      <c r="Y42" s="959">
        <f t="shared" si="25"/>
        <v>67.523801424755106</v>
      </c>
      <c r="Z42" s="959">
        <f t="shared" si="26"/>
        <v>67.523801424755106</v>
      </c>
      <c r="AA42" s="959">
        <f t="shared" si="27"/>
        <v>67.523801424755106</v>
      </c>
    </row>
    <row r="43" spans="1:66" x14ac:dyDescent="0.25">
      <c r="B43" t="s">
        <v>4672</v>
      </c>
      <c r="C43" t="s">
        <v>4646</v>
      </c>
      <c r="D43" t="s">
        <v>4647</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9">
        <f t="shared" si="21"/>
        <v>6.0538580587711479</v>
      </c>
      <c r="V43" s="959">
        <f t="shared" si="22"/>
        <v>6.0538580587711479</v>
      </c>
      <c r="W43" s="959">
        <f t="shared" si="23"/>
        <v>6.0538580587711479</v>
      </c>
      <c r="X43" s="959">
        <f t="shared" si="24"/>
        <v>6.0538580587711479</v>
      </c>
      <c r="Y43" s="959">
        <f t="shared" si="25"/>
        <v>6.0538580587711479</v>
      </c>
      <c r="Z43" s="959">
        <f t="shared" si="26"/>
        <v>6.0538580587711479</v>
      </c>
      <c r="AA43" s="959">
        <f t="shared" si="27"/>
        <v>6.0538580587711479</v>
      </c>
    </row>
    <row r="45" spans="1:66" x14ac:dyDescent="0.25">
      <c r="A45" s="1039" t="s">
        <v>4683</v>
      </c>
      <c r="B45" s="1039"/>
      <c r="C45" s="1039"/>
      <c r="D45" s="1039"/>
      <c r="E45" s="1039"/>
      <c r="F45" s="1039"/>
      <c r="G45" s="1039"/>
      <c r="H45" s="1039"/>
      <c r="I45" s="1039"/>
      <c r="J45" s="1039"/>
      <c r="K45" s="1039"/>
      <c r="M45" s="1118" t="s">
        <v>4688</v>
      </c>
      <c r="N45" s="1118"/>
      <c r="O45" s="1118"/>
      <c r="P45" s="1118"/>
      <c r="Q45" s="1118"/>
      <c r="R45" s="1118"/>
      <c r="S45" s="1118"/>
    </row>
    <row r="46" spans="1:66" ht="15.75" thickBot="1" x14ac:dyDescent="0.3">
      <c r="A46" s="88" t="s">
        <v>2016</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4644</v>
      </c>
      <c r="B47" t="s">
        <v>4645</v>
      </c>
      <c r="C47" t="s">
        <v>4680</v>
      </c>
      <c r="D47" t="s">
        <v>4678</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4648</v>
      </c>
      <c r="C48" t="s">
        <v>4680</v>
      </c>
      <c r="D48" t="s">
        <v>4678</v>
      </c>
      <c r="E48" s="305">
        <v>2.7340389150000002</v>
      </c>
      <c r="F48" s="305">
        <v>2.7340389150000002</v>
      </c>
      <c r="G48" s="305">
        <v>2.7340389150000002</v>
      </c>
      <c r="H48" s="305">
        <v>2.7340389150000002</v>
      </c>
      <c r="I48" s="305">
        <v>2.7340389150000002</v>
      </c>
      <c r="J48" s="305">
        <v>2.7340389150000002</v>
      </c>
      <c r="K48" s="305">
        <v>2.7340389150000002</v>
      </c>
      <c r="M48" s="444">
        <f t="shared" si="39"/>
        <v>3.182977599724361</v>
      </c>
      <c r="N48" s="444">
        <f t="shared" si="40"/>
        <v>3.182977599724361</v>
      </c>
      <c r="O48" s="444">
        <f t="shared" si="41"/>
        <v>3.182977599724361</v>
      </c>
      <c r="P48" s="444">
        <f t="shared" si="42"/>
        <v>3.182977599724361</v>
      </c>
      <c r="Q48" s="444">
        <f t="shared" si="43"/>
        <v>3.182977599724361</v>
      </c>
      <c r="R48" s="444">
        <f t="shared" si="44"/>
        <v>3.182977599724361</v>
      </c>
      <c r="S48" s="444">
        <f t="shared" si="45"/>
        <v>3.182977599724361</v>
      </c>
    </row>
    <row r="49" spans="1:19" x14ac:dyDescent="0.25">
      <c r="B49" t="s">
        <v>4649</v>
      </c>
      <c r="C49" t="s">
        <v>4680</v>
      </c>
      <c r="D49" t="s">
        <v>4681</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4651</v>
      </c>
      <c r="C50" t="s">
        <v>4680</v>
      </c>
      <c r="D50" t="s">
        <v>4682</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4652</v>
      </c>
      <c r="C51" t="s">
        <v>4680</v>
      </c>
      <c r="D51" t="s">
        <v>4681</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4653</v>
      </c>
      <c r="C52" t="s">
        <v>4680</v>
      </c>
      <c r="D52" t="s">
        <v>4654</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4655</v>
      </c>
      <c r="C53" t="s">
        <v>4680</v>
      </c>
      <c r="D53" t="s">
        <v>4654</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4656</v>
      </c>
      <c r="C54" t="s">
        <v>4680</v>
      </c>
      <c r="D54" t="s">
        <v>4654</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4657</v>
      </c>
      <c r="B55" t="s">
        <v>4658</v>
      </c>
      <c r="C55" t="s">
        <v>4677</v>
      </c>
      <c r="D55" t="s">
        <v>4660</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4661</v>
      </c>
      <c r="C56" t="s">
        <v>4680</v>
      </c>
      <c r="D56" t="s">
        <v>4660</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4662</v>
      </c>
      <c r="C57" t="s">
        <v>4680</v>
      </c>
      <c r="D57" t="s">
        <v>4660</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4663</v>
      </c>
      <c r="C58" t="s">
        <v>4680</v>
      </c>
      <c r="D58" t="s">
        <v>4664</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4676</v>
      </c>
      <c r="C59" t="s">
        <v>4677</v>
      </c>
      <c r="D59" t="s">
        <v>4677</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4665</v>
      </c>
      <c r="B60" t="s">
        <v>4666</v>
      </c>
      <c r="C60" t="s">
        <v>4680</v>
      </c>
      <c r="D60" t="s">
        <v>4667</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4668</v>
      </c>
      <c r="C61" t="s">
        <v>4680</v>
      </c>
      <c r="D61" t="s">
        <v>4667</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4669</v>
      </c>
      <c r="C62" t="s">
        <v>4680</v>
      </c>
      <c r="D62" t="s">
        <v>4678</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4670</v>
      </c>
      <c r="C63" t="s">
        <v>4680</v>
      </c>
      <c r="D63" t="s">
        <v>4678</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4671</v>
      </c>
      <c r="C64" t="s">
        <v>4680</v>
      </c>
      <c r="D64" t="s">
        <v>4678</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4672</v>
      </c>
      <c r="C65" t="s">
        <v>4680</v>
      </c>
      <c r="D65" t="s">
        <v>4678</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59" t="s">
        <v>2304</v>
      </c>
      <c r="B1" s="1059"/>
      <c r="C1" s="1059"/>
      <c r="D1" s="1059"/>
      <c r="F1" s="1182" t="s">
        <v>877</v>
      </c>
      <c r="G1" s="1183"/>
      <c r="I1" s="285" t="s">
        <v>2990</v>
      </c>
      <c r="M1" s="285" t="s">
        <v>2991</v>
      </c>
      <c r="Q1" s="790" t="s">
        <v>2992</v>
      </c>
      <c r="R1" s="792">
        <v>2</v>
      </c>
      <c r="T1" s="76">
        <v>1</v>
      </c>
    </row>
    <row r="2" spans="1:20" ht="16.5" thickTop="1" thickBot="1" x14ac:dyDescent="0.3">
      <c r="A2" s="88" t="s">
        <v>225</v>
      </c>
      <c r="B2" s="88" t="s">
        <v>237</v>
      </c>
      <c r="C2" s="433" t="s">
        <v>238</v>
      </c>
      <c r="D2" s="88" t="s">
        <v>998</v>
      </c>
      <c r="F2" s="64" t="s">
        <v>2315</v>
      </c>
      <c r="G2" s="574">
        <f>G50/1000</f>
        <v>1.05505585E-6</v>
      </c>
      <c r="I2" s="88" t="s">
        <v>1091</v>
      </c>
      <c r="J2" s="88" t="s">
        <v>1093</v>
      </c>
      <c r="K2" s="88" t="s">
        <v>1092</v>
      </c>
      <c r="M2" s="88" t="s">
        <v>1091</v>
      </c>
      <c r="N2" s="88" t="s">
        <v>2989</v>
      </c>
      <c r="O2" s="88" t="s">
        <v>1092</v>
      </c>
      <c r="Q2" t="s">
        <v>2993</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1" t="s">
        <v>1534</v>
      </c>
      <c r="R4" s="572"/>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2309</v>
      </c>
      <c r="R5" s="378" t="s">
        <v>2310</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3">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86" t="s">
        <v>461</v>
      </c>
      <c r="G7" s="1088"/>
      <c r="I7">
        <v>2008</v>
      </c>
      <c r="J7">
        <v>114.1</v>
      </c>
      <c r="K7" s="29">
        <f t="shared" si="1"/>
        <v>2.3318385650224163E-2</v>
      </c>
      <c r="M7">
        <v>2008</v>
      </c>
      <c r="N7">
        <v>89.7</v>
      </c>
      <c r="O7" s="29">
        <f t="shared" si="2"/>
        <v>4.0603248259860787E-2</v>
      </c>
      <c r="P7" s="71"/>
      <c r="Q7" s="64" t="s">
        <v>4640</v>
      </c>
      <c r="R7" s="573">
        <f>1.2986 * IF($R$1=1, (1+K16)*(1+K17)*(1+K18), (1+O16)*(1+O17)*(1+O18))</f>
        <v>1.3745181538461539</v>
      </c>
    </row>
    <row r="8" spans="1:20" x14ac:dyDescent="0.25">
      <c r="A8" t="s">
        <v>231</v>
      </c>
      <c r="B8" s="65">
        <v>122887</v>
      </c>
      <c r="C8" s="201">
        <v>130817</v>
      </c>
      <c r="D8" s="60">
        <f t="shared" si="0"/>
        <v>1.0645308291357101</v>
      </c>
      <c r="F8" s="1086"/>
      <c r="G8" s="1088"/>
      <c r="I8">
        <v>2009</v>
      </c>
      <c r="J8">
        <v>114.4</v>
      </c>
      <c r="K8" s="29">
        <f t="shared" si="1"/>
        <v>2.6292725679229745E-3</v>
      </c>
      <c r="M8">
        <v>2009</v>
      </c>
      <c r="N8">
        <v>87.6</v>
      </c>
      <c r="O8" s="29">
        <f t="shared" si="2"/>
        <v>-2.3411371237458289E-2</v>
      </c>
      <c r="P8" s="71"/>
      <c r="Q8" s="64" t="s">
        <v>1640</v>
      </c>
      <c r="R8" s="573">
        <f>1.2957 * IF($R$1=1, (1+K17)*(1+K18), (1+O17)*(1+O18))</f>
        <v>1.3371624000000004</v>
      </c>
    </row>
    <row r="9" spans="1:20" x14ac:dyDescent="0.25">
      <c r="A9" t="s">
        <v>23</v>
      </c>
      <c r="B9" s="65">
        <v>76330</v>
      </c>
      <c r="C9" s="201">
        <v>84530</v>
      </c>
      <c r="D9" s="60">
        <f t="shared" si="0"/>
        <v>1.1074282719769422</v>
      </c>
      <c r="F9" s="1086"/>
      <c r="G9" s="1088"/>
      <c r="I9">
        <v>2010</v>
      </c>
      <c r="J9">
        <v>116.5</v>
      </c>
      <c r="K9" s="29">
        <f t="shared" si="1"/>
        <v>1.8356643356643308E-2</v>
      </c>
      <c r="M9">
        <v>2010</v>
      </c>
      <c r="N9">
        <v>90.1</v>
      </c>
      <c r="O9" s="29">
        <f t="shared" si="2"/>
        <v>2.853881278538813E-2</v>
      </c>
      <c r="P9" s="71"/>
      <c r="Q9" s="64" t="s">
        <v>2995</v>
      </c>
      <c r="R9" s="573">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84" t="s">
        <v>2974</v>
      </c>
      <c r="G11" s="1185"/>
      <c r="I11">
        <v>2012</v>
      </c>
      <c r="J11">
        <v>121.7</v>
      </c>
      <c r="K11" s="29">
        <f t="shared" si="3"/>
        <v>1.5012510425354437E-2</v>
      </c>
      <c r="M11">
        <v>2012</v>
      </c>
      <c r="N11">
        <v>94.1</v>
      </c>
      <c r="O11" s="29">
        <f t="shared" si="2"/>
        <v>1.1827956989247251E-2</v>
      </c>
      <c r="P11" s="71"/>
      <c r="Q11" s="64" t="s">
        <v>2996</v>
      </c>
      <c r="R11" s="573">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2838</v>
      </c>
      <c r="R12" s="573">
        <f>1.3013 / IF($R$1=1, (1+K20)*(1+K21), (1+O20)*(1+O21))</f>
        <v>1.1226268817204299</v>
      </c>
    </row>
    <row r="13" spans="1:20" x14ac:dyDescent="0.25">
      <c r="A13" t="s">
        <v>235</v>
      </c>
      <c r="B13" s="65">
        <v>983</v>
      </c>
      <c r="C13" s="201">
        <v>1089</v>
      </c>
      <c r="D13" s="434">
        <f>ROUND(C13/B13, 2)</f>
        <v>1.1100000000000001</v>
      </c>
      <c r="F13" s="64" t="s">
        <v>522</v>
      </c>
      <c r="G13" s="574">
        <f>PJ_MMBtu/L_gal</f>
        <v>2.7871632697215709E-7</v>
      </c>
      <c r="H13" s="80"/>
      <c r="I13">
        <v>2014</v>
      </c>
      <c r="J13">
        <v>125.2</v>
      </c>
      <c r="K13" s="29">
        <f t="shared" si="3"/>
        <v>1.9543973941368125E-2</v>
      </c>
      <c r="M13">
        <v>2014</v>
      </c>
      <c r="N13">
        <v>97.6</v>
      </c>
      <c r="O13" s="29">
        <f t="shared" si="2"/>
        <v>1.8789144050104355E-2</v>
      </c>
      <c r="P13" s="71"/>
      <c r="Q13" s="64" t="s">
        <v>2994</v>
      </c>
      <c r="R13" s="573">
        <f>1.3497 / IF($R$1=1, (1+K20)*(1+K21)*(1+K22), (1+O20)*(1+O21)*(1+O22))</f>
        <v>1.1463657166123775</v>
      </c>
    </row>
    <row r="14" spans="1:20" x14ac:dyDescent="0.25">
      <c r="A14" t="s">
        <v>236</v>
      </c>
      <c r="B14" s="65">
        <v>290</v>
      </c>
      <c r="C14" s="201">
        <v>343</v>
      </c>
      <c r="D14" s="434">
        <f>ROUND(C14/B14, 2)</f>
        <v>1.18</v>
      </c>
      <c r="F14" s="64" t="s">
        <v>524</v>
      </c>
      <c r="G14" s="66">
        <f>C5*G13</f>
        <v>3.3568209791995381E-2</v>
      </c>
      <c r="I14">
        <v>2015</v>
      </c>
      <c r="J14">
        <v>126.6</v>
      </c>
      <c r="K14" s="29">
        <f t="shared" si="3"/>
        <v>1.1182108626198015E-2</v>
      </c>
      <c r="M14">
        <v>2015</v>
      </c>
      <c r="N14">
        <v>96.8</v>
      </c>
      <c r="O14" s="29">
        <f t="shared" si="2"/>
        <v>-8.1967213114753808E-3</v>
      </c>
      <c r="P14" s="71"/>
      <c r="Q14" s="788" t="s">
        <v>2858</v>
      </c>
      <c r="R14" s="789">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2862</v>
      </c>
      <c r="R15" s="573">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8" t="s">
        <v>2851</v>
      </c>
      <c r="R16" s="976">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4730</v>
      </c>
      <c r="R17" s="296">
        <v>1.7199</v>
      </c>
    </row>
    <row r="18" spans="1:18" ht="15.75" thickTop="1" x14ac:dyDescent="0.25">
      <c r="A18" t="s">
        <v>511</v>
      </c>
      <c r="B18" t="s">
        <v>204</v>
      </c>
      <c r="C18" s="60">
        <v>1</v>
      </c>
      <c r="D18" s="60">
        <v>1.1498803290838104</v>
      </c>
      <c r="F18" s="64" t="s">
        <v>2832</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2833</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2834</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2835</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2311</v>
      </c>
      <c r="G23" s="380">
        <f>42.2106699476279 * 0.991173745730649</f>
        <v>41.838107841790482</v>
      </c>
    </row>
    <row r="24" spans="1:18" x14ac:dyDescent="0.25">
      <c r="A24" t="s">
        <v>213</v>
      </c>
      <c r="B24" t="s">
        <v>214</v>
      </c>
      <c r="C24" s="60">
        <v>0.87940030111992673</v>
      </c>
      <c r="D24" s="60">
        <v>1.0112051076481834</v>
      </c>
      <c r="F24" s="64" t="s">
        <v>2312</v>
      </c>
      <c r="G24" s="380">
        <f>43.838416868984 * 0.913903404412361</f>
        <v>40.064078420612752</v>
      </c>
    </row>
    <row r="25" spans="1:18" x14ac:dyDescent="0.25">
      <c r="A25" t="s">
        <v>215</v>
      </c>
      <c r="B25" t="s">
        <v>216</v>
      </c>
      <c r="C25" s="60">
        <v>0.92066489829303544</v>
      </c>
      <c r="D25" s="60">
        <v>1.0586544562251086</v>
      </c>
      <c r="F25" s="64" t="s">
        <v>2313</v>
      </c>
      <c r="G25" s="66">
        <f>G23/G24</f>
        <v>1.0442798010365566</v>
      </c>
    </row>
    <row r="26" spans="1:18" x14ac:dyDescent="0.25">
      <c r="A26" t="s">
        <v>217</v>
      </c>
      <c r="B26" t="s">
        <v>218</v>
      </c>
      <c r="C26" s="60">
        <v>1.3304203886276409</v>
      </c>
      <c r="D26" s="60">
        <v>1.5298242342949626</v>
      </c>
      <c r="F26" s="64" t="s">
        <v>2314</v>
      </c>
      <c r="G26" s="66">
        <f>45.7668369665298/43.838416868984</f>
        <v>1.0439892732282989</v>
      </c>
    </row>
    <row r="27" spans="1:18" ht="15.75" thickBot="1" x14ac:dyDescent="0.3">
      <c r="A27" t="s">
        <v>219</v>
      </c>
      <c r="B27" t="s">
        <v>220</v>
      </c>
      <c r="C27" s="60">
        <v>1.3175650366480691</v>
      </c>
      <c r="D27" s="60">
        <v>1.5150421179302045</v>
      </c>
      <c r="F27" s="67" t="s">
        <v>4641</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86" t="s">
        <v>2305</v>
      </c>
      <c r="B32" s="1187"/>
      <c r="C32" s="1187"/>
      <c r="D32" s="1187"/>
      <c r="E32" s="1187"/>
      <c r="F32" s="1187"/>
      <c r="G32" s="1187"/>
      <c r="H32" s="1187"/>
      <c r="I32" s="1188"/>
    </row>
    <row r="33" spans="1:9" ht="15.75" thickBot="1" x14ac:dyDescent="0.3">
      <c r="A33" s="55" t="s">
        <v>833</v>
      </c>
      <c r="B33" s="16" t="s">
        <v>834</v>
      </c>
      <c r="C33" s="16" t="s">
        <v>835</v>
      </c>
      <c r="D33" s="16" t="s">
        <v>836</v>
      </c>
      <c r="E33" s="16" t="s">
        <v>837</v>
      </c>
      <c r="F33" s="16" t="s">
        <v>838</v>
      </c>
      <c r="I33" s="52"/>
    </row>
    <row r="34" spans="1:9" ht="15.75" thickTop="1" x14ac:dyDescent="0.25">
      <c r="A34" s="405" t="s">
        <v>839</v>
      </c>
      <c r="B34">
        <v>1</v>
      </c>
      <c r="C34">
        <v>1000</v>
      </c>
      <c r="D34">
        <v>1000000</v>
      </c>
      <c r="E34">
        <v>453.59237000000002</v>
      </c>
      <c r="F34">
        <v>907184.74</v>
      </c>
      <c r="I34" s="52"/>
    </row>
    <row r="35" spans="1:9" x14ac:dyDescent="0.25">
      <c r="A35" s="405" t="s">
        <v>840</v>
      </c>
      <c r="B35">
        <v>1E-3</v>
      </c>
      <c r="C35">
        <v>1</v>
      </c>
      <c r="D35">
        <v>1000</v>
      </c>
      <c r="E35">
        <v>0.45359237000000002</v>
      </c>
      <c r="F35">
        <v>907.18474000000003</v>
      </c>
      <c r="I35" s="52"/>
    </row>
    <row r="36" spans="1:9" x14ac:dyDescent="0.25">
      <c r="A36" s="405" t="s">
        <v>841</v>
      </c>
      <c r="B36">
        <v>9.9999999999999995E-7</v>
      </c>
      <c r="C36">
        <v>1E-3</v>
      </c>
      <c r="D36">
        <v>1</v>
      </c>
      <c r="E36">
        <v>4.5359237000000004E-4</v>
      </c>
      <c r="F36">
        <v>0.90718474000000004</v>
      </c>
      <c r="I36" s="52"/>
    </row>
    <row r="37" spans="1:9" x14ac:dyDescent="0.25">
      <c r="A37" s="405" t="s">
        <v>842</v>
      </c>
      <c r="B37">
        <v>2.2046226218487759E-3</v>
      </c>
      <c r="C37">
        <v>2.2046226218487757</v>
      </c>
      <c r="D37">
        <v>2204.6226218487759</v>
      </c>
      <c r="E37">
        <v>1</v>
      </c>
      <c r="F37">
        <v>2000</v>
      </c>
      <c r="I37" s="52"/>
    </row>
    <row r="38" spans="1:9" x14ac:dyDescent="0.25">
      <c r="A38" s="405" t="s">
        <v>843</v>
      </c>
      <c r="B38">
        <v>1.102311310924388E-6</v>
      </c>
      <c r="C38">
        <v>1.1023113109243879E-3</v>
      </c>
      <c r="D38">
        <v>1.1023113109243878</v>
      </c>
      <c r="E38">
        <v>5.0000000000000001E-4</v>
      </c>
      <c r="F38">
        <v>1</v>
      </c>
      <c r="I38" s="52"/>
    </row>
    <row r="39" spans="1:9" x14ac:dyDescent="0.25">
      <c r="A39" s="405"/>
      <c r="I39" s="52"/>
    </row>
    <row r="40" spans="1:9" ht="15.75" thickBot="1" x14ac:dyDescent="0.3">
      <c r="A40" s="594" t="s">
        <v>844</v>
      </c>
      <c r="B40" s="88" t="s">
        <v>845</v>
      </c>
      <c r="C40" s="88" t="s">
        <v>846</v>
      </c>
      <c r="D40" s="88" t="s">
        <v>847</v>
      </c>
      <c r="E40" s="88" t="s">
        <v>848</v>
      </c>
      <c r="F40" s="88" t="s">
        <v>849</v>
      </c>
      <c r="I40" s="52"/>
    </row>
    <row r="41" spans="1:9" ht="15.75" thickTop="1" x14ac:dyDescent="0.25">
      <c r="A41" s="405" t="s">
        <v>850</v>
      </c>
      <c r="B41">
        <v>1</v>
      </c>
      <c r="C41">
        <v>9.9999999999999995E-7</v>
      </c>
      <c r="D41">
        <v>1E-3</v>
      </c>
      <c r="E41">
        <v>3.7854109999999998E-3</v>
      </c>
      <c r="F41">
        <v>2.8316846999999999E-2</v>
      </c>
      <c r="I41" s="52"/>
    </row>
    <row r="42" spans="1:9" x14ac:dyDescent="0.25">
      <c r="A42" s="405" t="s">
        <v>851</v>
      </c>
      <c r="B42">
        <v>1000000</v>
      </c>
      <c r="C42">
        <v>1</v>
      </c>
      <c r="D42">
        <v>1000.0000000000001</v>
      </c>
      <c r="E42">
        <v>3785.4110000000001</v>
      </c>
      <c r="F42">
        <v>28316.847000000002</v>
      </c>
      <c r="I42" s="52"/>
    </row>
    <row r="43" spans="1:9" x14ac:dyDescent="0.25">
      <c r="A43" s="405" t="s">
        <v>852</v>
      </c>
      <c r="B43">
        <v>1000</v>
      </c>
      <c r="C43">
        <v>1E-3</v>
      </c>
      <c r="D43">
        <v>1</v>
      </c>
      <c r="E43">
        <v>3.7854109999999999</v>
      </c>
      <c r="F43">
        <v>28.316846999999999</v>
      </c>
      <c r="I43" s="52"/>
    </row>
    <row r="44" spans="1:9" x14ac:dyDescent="0.25">
      <c r="A44" s="405" t="s">
        <v>853</v>
      </c>
      <c r="B44">
        <v>264.17210707106841</v>
      </c>
      <c r="C44">
        <v>2.6417210707106839E-4</v>
      </c>
      <c r="D44">
        <v>0.26417210707106842</v>
      </c>
      <c r="E44">
        <v>1</v>
      </c>
      <c r="F44">
        <v>7.4805211375990615</v>
      </c>
      <c r="I44" s="52"/>
    </row>
    <row r="45" spans="1:9" x14ac:dyDescent="0.25">
      <c r="A45" s="405" t="s">
        <v>854</v>
      </c>
      <c r="B45">
        <v>35.314666212661322</v>
      </c>
      <c r="C45">
        <v>3.5314666212661319E-5</v>
      </c>
      <c r="D45">
        <v>3.5314666212661321E-2</v>
      </c>
      <c r="E45">
        <v>0.13368052594273649</v>
      </c>
      <c r="F45">
        <v>1</v>
      </c>
      <c r="I45" s="52"/>
    </row>
    <row r="46" spans="1:9" x14ac:dyDescent="0.25">
      <c r="A46" s="405"/>
      <c r="I46" s="52"/>
    </row>
    <row r="47" spans="1:9" ht="15.75" thickBot="1" x14ac:dyDescent="0.3">
      <c r="A47" s="594" t="s">
        <v>855</v>
      </c>
      <c r="B47" s="88" t="s">
        <v>856</v>
      </c>
      <c r="C47" s="88" t="s">
        <v>857</v>
      </c>
      <c r="D47" s="88" t="s">
        <v>858</v>
      </c>
      <c r="E47" s="88" t="s">
        <v>859</v>
      </c>
      <c r="F47" s="88" t="s">
        <v>860</v>
      </c>
      <c r="G47" s="88" t="s">
        <v>861</v>
      </c>
      <c r="H47" s="88" t="s">
        <v>862</v>
      </c>
      <c r="I47" s="110" t="s">
        <v>863</v>
      </c>
    </row>
    <row r="48" spans="1:9" ht="15.75" thickTop="1" x14ac:dyDescent="0.25">
      <c r="A48" s="405" t="s">
        <v>864</v>
      </c>
      <c r="B48">
        <v>1</v>
      </c>
      <c r="C48">
        <v>1000</v>
      </c>
      <c r="D48">
        <v>1000000</v>
      </c>
      <c r="E48">
        <v>3600</v>
      </c>
      <c r="F48">
        <v>3600000</v>
      </c>
      <c r="G48">
        <v>1055.05585</v>
      </c>
      <c r="H48">
        <v>1055055850</v>
      </c>
      <c r="I48" s="52">
        <v>2684519.5376862194</v>
      </c>
    </row>
    <row r="49" spans="1:9" x14ac:dyDescent="0.25">
      <c r="A49" s="405" t="s">
        <v>865</v>
      </c>
      <c r="B49">
        <v>1E-3</v>
      </c>
      <c r="C49">
        <v>1</v>
      </c>
      <c r="D49">
        <v>1000</v>
      </c>
      <c r="E49">
        <v>3.6</v>
      </c>
      <c r="F49">
        <v>3600</v>
      </c>
      <c r="G49">
        <v>1.05505585</v>
      </c>
      <c r="H49">
        <v>1055055.8500000001</v>
      </c>
      <c r="I49" s="52">
        <v>2684.5195376862198</v>
      </c>
    </row>
    <row r="50" spans="1:9" x14ac:dyDescent="0.25">
      <c r="A50" s="405" t="s">
        <v>866</v>
      </c>
      <c r="B50">
        <v>9.9999999999999995E-7</v>
      </c>
      <c r="C50">
        <v>1E-3</v>
      </c>
      <c r="D50">
        <v>1</v>
      </c>
      <c r="E50">
        <v>3.5999999999999999E-3</v>
      </c>
      <c r="F50">
        <v>3.6</v>
      </c>
      <c r="G50">
        <v>1.0550558499999999E-3</v>
      </c>
      <c r="H50">
        <v>1055.05585</v>
      </c>
      <c r="I50" s="52">
        <v>2.6845195376862194</v>
      </c>
    </row>
    <row r="51" spans="1:9" x14ac:dyDescent="0.25">
      <c r="A51" s="405" t="s">
        <v>867</v>
      </c>
      <c r="B51">
        <v>2.7777777777777778E-4</v>
      </c>
      <c r="C51">
        <v>0.27777777777777779</v>
      </c>
      <c r="D51">
        <v>277.77777777777777</v>
      </c>
      <c r="E51">
        <v>1</v>
      </c>
      <c r="F51">
        <v>1000</v>
      </c>
      <c r="G51">
        <v>0.29307106944444444</v>
      </c>
      <c r="H51">
        <v>293071.06944444444</v>
      </c>
      <c r="I51" s="52">
        <v>745.69987157950538</v>
      </c>
    </row>
    <row r="52" spans="1:9" x14ac:dyDescent="0.25">
      <c r="A52" s="405" t="s">
        <v>206</v>
      </c>
      <c r="B52">
        <v>2.7777777777777776E-7</v>
      </c>
      <c r="C52">
        <v>2.7777777777777778E-4</v>
      </c>
      <c r="D52">
        <v>0.27777777777777779</v>
      </c>
      <c r="E52">
        <v>1E-3</v>
      </c>
      <c r="F52">
        <v>1</v>
      </c>
      <c r="G52">
        <v>2.9307106944444444E-4</v>
      </c>
      <c r="H52">
        <v>293.07106944444445</v>
      </c>
      <c r="I52" s="52">
        <v>0.74569987157950535</v>
      </c>
    </row>
    <row r="53" spans="1:9" x14ac:dyDescent="0.25">
      <c r="A53" s="405" t="s">
        <v>868</v>
      </c>
      <c r="B53">
        <v>9.4781712266701337E-4</v>
      </c>
      <c r="C53">
        <v>0.94781712266701335</v>
      </c>
      <c r="D53">
        <v>947.81712266701334</v>
      </c>
      <c r="E53">
        <v>3.4121416416012482</v>
      </c>
      <c r="F53">
        <v>3412.141641601248</v>
      </c>
      <c r="G53">
        <v>1</v>
      </c>
      <c r="H53">
        <v>1000000</v>
      </c>
      <c r="I53" s="52">
        <v>2544.4335839531336</v>
      </c>
    </row>
    <row r="54" spans="1:9" x14ac:dyDescent="0.25">
      <c r="A54" s="405"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5" t="s">
        <v>870</v>
      </c>
      <c r="B55">
        <v>3.72506136E-7</v>
      </c>
      <c r="C55">
        <v>3.7250613599999999E-4</v>
      </c>
      <c r="D55">
        <v>0.37250613599999999</v>
      </c>
      <c r="E55">
        <v>1.3410220896E-3</v>
      </c>
      <c r="F55">
        <v>1.3410220896</v>
      </c>
      <c r="G55">
        <v>3.9301477794769559E-4</v>
      </c>
      <c r="H55">
        <v>393.01477794769556</v>
      </c>
      <c r="I55" s="52">
        <v>1</v>
      </c>
    </row>
    <row r="56" spans="1:9" x14ac:dyDescent="0.25">
      <c r="A56" s="405"/>
      <c r="I56" s="52"/>
    </row>
    <row r="57" spans="1:9" ht="15.75" thickBot="1" x14ac:dyDescent="0.3">
      <c r="A57" s="594" t="s">
        <v>871</v>
      </c>
      <c r="B57" s="88" t="s">
        <v>872</v>
      </c>
      <c r="C57" s="88" t="s">
        <v>873</v>
      </c>
      <c r="D57" s="88" t="s">
        <v>874</v>
      </c>
      <c r="E57" s="88" t="s">
        <v>875</v>
      </c>
      <c r="F57" s="88" t="s">
        <v>876</v>
      </c>
      <c r="I57" s="52"/>
    </row>
    <row r="58" spans="1:9" ht="15.75" thickTop="1" x14ac:dyDescent="0.25">
      <c r="A58" s="405" t="s">
        <v>872</v>
      </c>
      <c r="B58">
        <v>1</v>
      </c>
      <c r="C58">
        <v>1000</v>
      </c>
      <c r="D58">
        <v>1000000</v>
      </c>
      <c r="E58">
        <v>304.8</v>
      </c>
      <c r="F58">
        <v>1609340</v>
      </c>
      <c r="I58" s="52"/>
    </row>
    <row r="59" spans="1:9" x14ac:dyDescent="0.25">
      <c r="A59" s="405" t="s">
        <v>873</v>
      </c>
      <c r="B59">
        <v>1E-3</v>
      </c>
      <c r="C59">
        <v>1</v>
      </c>
      <c r="D59">
        <v>1000</v>
      </c>
      <c r="E59">
        <v>0.30480000000000002</v>
      </c>
      <c r="F59">
        <v>1609.34</v>
      </c>
      <c r="I59" s="52"/>
    </row>
    <row r="60" spans="1:9" x14ac:dyDescent="0.25">
      <c r="A60" s="405" t="s">
        <v>874</v>
      </c>
      <c r="B60">
        <v>9.9999999999999995E-7</v>
      </c>
      <c r="C60">
        <v>1E-3</v>
      </c>
      <c r="D60">
        <v>1</v>
      </c>
      <c r="E60">
        <v>3.0480000000000004E-4</v>
      </c>
      <c r="F60">
        <v>1.60934</v>
      </c>
      <c r="I60" s="52"/>
    </row>
    <row r="61" spans="1:9" x14ac:dyDescent="0.25">
      <c r="A61" s="405" t="s">
        <v>875</v>
      </c>
      <c r="B61">
        <v>3.2808398950131233E-3</v>
      </c>
      <c r="C61">
        <v>3.2808398950131235</v>
      </c>
      <c r="D61">
        <v>3280.8398950131236</v>
      </c>
      <c r="E61">
        <v>1</v>
      </c>
      <c r="F61">
        <v>5280</v>
      </c>
      <c r="I61" s="52"/>
    </row>
    <row r="62" spans="1:9" x14ac:dyDescent="0.25">
      <c r="A62" s="595" t="s">
        <v>876</v>
      </c>
      <c r="B62" s="202">
        <v>6.2137273664980671E-7</v>
      </c>
      <c r="C62" s="202">
        <v>6.2137273664980672E-4</v>
      </c>
      <c r="D62" s="202">
        <v>0.62137273664980675</v>
      </c>
      <c r="E62" s="202">
        <v>1.8939393939393939E-4</v>
      </c>
      <c r="F62" s="202">
        <v>1</v>
      </c>
      <c r="G62" s="202"/>
      <c r="H62" s="202"/>
      <c r="I62" s="203"/>
    </row>
    <row r="64" spans="1:9" ht="16.5" thickBot="1" x14ac:dyDescent="0.3">
      <c r="A64" s="1189" t="s">
        <v>2306</v>
      </c>
      <c r="B64" s="1190"/>
      <c r="C64" s="1190"/>
      <c r="D64" s="1190"/>
      <c r="E64" s="1191"/>
      <c r="G64" s="721" t="s">
        <v>2563</v>
      </c>
      <c r="H64" s="41"/>
    </row>
    <row r="65" spans="1:8" ht="16.5" thickTop="1" thickBot="1" x14ac:dyDescent="0.3">
      <c r="A65" s="594" t="s">
        <v>2301</v>
      </c>
      <c r="B65" s="88" t="s">
        <v>238</v>
      </c>
      <c r="C65" s="88" t="s">
        <v>2302</v>
      </c>
      <c r="D65" s="88" t="s">
        <v>2303</v>
      </c>
      <c r="E65" s="110" t="s">
        <v>2227</v>
      </c>
      <c r="G65" s="72" t="s">
        <v>2558</v>
      </c>
      <c r="H65" s="291">
        <v>0.85</v>
      </c>
    </row>
    <row r="66" spans="1:8" ht="15.75" thickTop="1" x14ac:dyDescent="0.25">
      <c r="A66" s="72" t="s">
        <v>226</v>
      </c>
      <c r="B66" s="65">
        <v>138350</v>
      </c>
      <c r="C66" s="65">
        <v>3205</v>
      </c>
      <c r="D66" s="114">
        <v>0.85299999999999998</v>
      </c>
      <c r="E66" s="596">
        <v>0.93726057101554028</v>
      </c>
      <c r="G66" s="72" t="s">
        <v>2559</v>
      </c>
      <c r="H66" s="291">
        <v>0.42857142857142855</v>
      </c>
    </row>
    <row r="67" spans="1:8" x14ac:dyDescent="0.25">
      <c r="A67" s="72" t="s">
        <v>2228</v>
      </c>
      <c r="B67" s="65">
        <v>144475.84269846199</v>
      </c>
      <c r="C67" s="65">
        <v>3266</v>
      </c>
      <c r="D67" s="114">
        <v>0.85562068501529054</v>
      </c>
      <c r="E67" s="596">
        <v>0.93500000000000005</v>
      </c>
      <c r="G67" s="72" t="s">
        <v>2560</v>
      </c>
      <c r="H67" s="293">
        <v>0.75</v>
      </c>
    </row>
    <row r="68" spans="1:8" x14ac:dyDescent="0.25">
      <c r="A68" s="72" t="s">
        <v>2229</v>
      </c>
      <c r="B68" s="65">
        <v>162963.53084543315</v>
      </c>
      <c r="C68" s="65">
        <v>3839.6821254480283</v>
      </c>
      <c r="D68" s="114">
        <v>0.83</v>
      </c>
      <c r="E68" s="596">
        <v>0.93500000000000016</v>
      </c>
      <c r="G68" s="72" t="s">
        <v>2561</v>
      </c>
      <c r="H68" s="293">
        <v>0.27272727272727271</v>
      </c>
    </row>
    <row r="69" spans="1:8" x14ac:dyDescent="0.25">
      <c r="A69" s="72" t="s">
        <v>2230</v>
      </c>
      <c r="B69" s="65">
        <v>162963.53084543315</v>
      </c>
      <c r="C69" s="65">
        <v>3839.6821254480283</v>
      </c>
      <c r="D69" s="114">
        <v>0.83</v>
      </c>
      <c r="E69" s="596">
        <v>0.93500000000000016</v>
      </c>
      <c r="G69" s="332" t="s">
        <v>2562</v>
      </c>
      <c r="H69" s="791">
        <v>0.5</v>
      </c>
    </row>
    <row r="70" spans="1:8" x14ac:dyDescent="0.25">
      <c r="A70" s="72" t="s">
        <v>2231</v>
      </c>
      <c r="B70" s="65">
        <v>155287.90268980322</v>
      </c>
      <c r="C70" s="65">
        <v>3500.47748781362</v>
      </c>
      <c r="D70" s="114">
        <v>0.83245885654014951</v>
      </c>
      <c r="E70" s="596">
        <v>0.93500000000000005</v>
      </c>
    </row>
    <row r="71" spans="1:8" x14ac:dyDescent="0.25">
      <c r="A71" s="72" t="s">
        <v>2232</v>
      </c>
      <c r="B71" s="65">
        <v>137378.10365999999</v>
      </c>
      <c r="C71" s="65">
        <v>2709</v>
      </c>
      <c r="D71" s="114">
        <v>0.84059083544303792</v>
      </c>
      <c r="E71" s="596">
        <v>0.93500000000000005</v>
      </c>
    </row>
    <row r="72" spans="1:8" x14ac:dyDescent="0.25">
      <c r="A72" s="72" t="s">
        <v>2233</v>
      </c>
      <c r="B72" s="65">
        <v>134008.52571649614</v>
      </c>
      <c r="C72" s="65">
        <v>3087.2372132564833</v>
      </c>
      <c r="D72" s="114">
        <v>0.85299999999999998</v>
      </c>
      <c r="E72" s="596">
        <v>0.93726057101554028</v>
      </c>
    </row>
    <row r="73" spans="1:8" x14ac:dyDescent="0.25">
      <c r="A73" s="72" t="s">
        <v>2234</v>
      </c>
      <c r="B73" s="65">
        <v>130692.16040416578</v>
      </c>
      <c r="C73" s="65">
        <v>2984.0426545960995</v>
      </c>
      <c r="D73" s="114">
        <v>0.85299999999999998</v>
      </c>
      <c r="E73" s="596">
        <v>0.93726057101554017</v>
      </c>
    </row>
    <row r="74" spans="1:8" x14ac:dyDescent="0.25">
      <c r="A74" s="72" t="s">
        <v>227</v>
      </c>
      <c r="B74" s="65">
        <v>124340</v>
      </c>
      <c r="C74" s="65">
        <v>2819</v>
      </c>
      <c r="D74" s="114">
        <v>0.86299999999999999</v>
      </c>
      <c r="E74" s="596">
        <v>0.93364967025896739</v>
      </c>
    </row>
    <row r="75" spans="1:8" x14ac:dyDescent="0.25">
      <c r="A75" s="72" t="s">
        <v>108</v>
      </c>
      <c r="B75" s="65">
        <v>120438.62000000001</v>
      </c>
      <c r="C75" s="65">
        <v>2835.5620000000004</v>
      </c>
      <c r="D75" s="114">
        <v>0.82778546968819577</v>
      </c>
      <c r="E75" s="596">
        <v>0.931541062160958</v>
      </c>
    </row>
    <row r="76" spans="1:8" x14ac:dyDescent="0.25">
      <c r="A76" s="72" t="s">
        <v>2235</v>
      </c>
      <c r="B76" s="65">
        <v>120438.62000000001</v>
      </c>
      <c r="C76" s="65">
        <v>2835.5620000000004</v>
      </c>
      <c r="D76" s="114">
        <v>0.82778546968819577</v>
      </c>
      <c r="E76" s="596">
        <v>0.931541062160958</v>
      </c>
    </row>
    <row r="77" spans="1:8" x14ac:dyDescent="0.25">
      <c r="A77" s="72" t="s">
        <v>2236</v>
      </c>
      <c r="B77" s="65">
        <v>114387.5</v>
      </c>
      <c r="C77" s="65">
        <v>2861.25</v>
      </c>
      <c r="D77" s="114">
        <v>0.77774999999999994</v>
      </c>
      <c r="E77" s="596">
        <v>0.92798601245765489</v>
      </c>
    </row>
    <row r="78" spans="1:8" x14ac:dyDescent="0.25">
      <c r="A78" s="72" t="s">
        <v>2237</v>
      </c>
      <c r="B78" s="65">
        <v>108416</v>
      </c>
      <c r="C78" s="65">
        <v>2886.6</v>
      </c>
      <c r="D78" s="114">
        <v>0.72659999999999991</v>
      </c>
      <c r="E78" s="596">
        <v>0.92408869539551353</v>
      </c>
    </row>
    <row r="79" spans="1:8" x14ac:dyDescent="0.25">
      <c r="A79" s="72" t="s">
        <v>2238</v>
      </c>
      <c r="B79" s="65">
        <v>137380</v>
      </c>
      <c r="C79" s="65">
        <v>3167</v>
      </c>
      <c r="D79" s="114">
        <v>0.86499999999999999</v>
      </c>
      <c r="E79" s="596">
        <v>0.93499781627602274</v>
      </c>
    </row>
    <row r="80" spans="1:8" x14ac:dyDescent="0.25">
      <c r="A80" s="72" t="s">
        <v>2239</v>
      </c>
      <c r="B80" s="65">
        <v>138490</v>
      </c>
      <c r="C80" s="65">
        <v>3206</v>
      </c>
      <c r="D80" s="114">
        <v>0.871</v>
      </c>
      <c r="E80" s="596"/>
    </row>
    <row r="81" spans="1:5" x14ac:dyDescent="0.25">
      <c r="A81" s="72" t="s">
        <v>2240</v>
      </c>
      <c r="B81" s="65">
        <v>137380</v>
      </c>
      <c r="C81" s="65">
        <v>3167</v>
      </c>
      <c r="D81" s="114">
        <v>0.86499999999999999</v>
      </c>
      <c r="E81" s="596">
        <v>0.93499781627602274</v>
      </c>
    </row>
    <row r="82" spans="1:5" x14ac:dyDescent="0.25">
      <c r="A82" s="72" t="s">
        <v>229</v>
      </c>
      <c r="B82" s="65">
        <v>138490</v>
      </c>
      <c r="C82" s="65">
        <v>3206</v>
      </c>
      <c r="D82" s="114">
        <v>0.871</v>
      </c>
      <c r="E82" s="596">
        <v>0.93499781627602274</v>
      </c>
    </row>
    <row r="83" spans="1:5" x14ac:dyDescent="0.25">
      <c r="A83" s="72" t="s">
        <v>2241</v>
      </c>
      <c r="B83" s="65">
        <v>125080</v>
      </c>
      <c r="C83" s="65">
        <v>2745</v>
      </c>
      <c r="D83" s="114">
        <v>0.85</v>
      </c>
      <c r="E83" s="596">
        <v>0.93476175247841387</v>
      </c>
    </row>
    <row r="84" spans="1:5" x14ac:dyDescent="0.25">
      <c r="A84" s="72" t="s">
        <v>2242</v>
      </c>
      <c r="B84" s="65">
        <v>126586.157141156</v>
      </c>
      <c r="C84" s="65">
        <v>2833.8569764657</v>
      </c>
      <c r="D84" s="114">
        <v>0.85315638757897505</v>
      </c>
      <c r="E84" s="596">
        <v>0.93404711473172097</v>
      </c>
    </row>
    <row r="85" spans="1:5" x14ac:dyDescent="0.25">
      <c r="A85" s="72" t="s">
        <v>2243</v>
      </c>
      <c r="B85" s="65">
        <v>132948.69438683367</v>
      </c>
      <c r="C85" s="65">
        <v>3035.8996219999995</v>
      </c>
      <c r="D85" s="114">
        <v>0.86199999999999999</v>
      </c>
      <c r="E85" s="596">
        <v>0.93500003751584637</v>
      </c>
    </row>
    <row r="86" spans="1:5" x14ac:dyDescent="0.25">
      <c r="A86" s="72" t="s">
        <v>2244</v>
      </c>
      <c r="B86" s="65">
        <v>131594.89429852215</v>
      </c>
      <c r="C86" s="65">
        <v>2998.0455119999997</v>
      </c>
      <c r="D86" s="114">
        <v>0.86</v>
      </c>
      <c r="E86" s="596">
        <v>0.93500003751584626</v>
      </c>
    </row>
    <row r="87" spans="1:5" x14ac:dyDescent="0.25">
      <c r="A87" s="72" t="s">
        <v>2245</v>
      </c>
      <c r="B87" s="65">
        <v>119740</v>
      </c>
      <c r="C87" s="65">
        <v>2651</v>
      </c>
      <c r="D87" s="114">
        <v>0.84199999999999997</v>
      </c>
      <c r="E87" s="596">
        <v>0.93135126106564226</v>
      </c>
    </row>
    <row r="88" spans="1:5" x14ac:dyDescent="0.25">
      <c r="A88" s="72" t="s">
        <v>2246</v>
      </c>
      <c r="B88" s="65">
        <v>150110</v>
      </c>
      <c r="C88" s="65">
        <v>3752</v>
      </c>
      <c r="D88" s="114">
        <v>0.86799999999999999</v>
      </c>
      <c r="E88" s="596">
        <v>0.93499781627602263</v>
      </c>
    </row>
    <row r="89" spans="1:5" x14ac:dyDescent="0.25">
      <c r="A89" s="72" t="s">
        <v>2247</v>
      </c>
      <c r="B89" s="65">
        <v>150110</v>
      </c>
      <c r="C89" s="65">
        <v>3752</v>
      </c>
      <c r="D89" s="114">
        <v>0.86799999999999999</v>
      </c>
      <c r="E89" s="596">
        <v>0.93499781627602263</v>
      </c>
    </row>
    <row r="90" spans="1:5" x14ac:dyDescent="0.25">
      <c r="A90" s="72" t="s">
        <v>2248</v>
      </c>
      <c r="B90" s="65">
        <v>65200</v>
      </c>
      <c r="C90" s="65">
        <v>3006</v>
      </c>
      <c r="D90" s="114">
        <v>0.375</v>
      </c>
      <c r="E90" s="596">
        <v>0.87806748466257667</v>
      </c>
    </row>
    <row r="91" spans="1:5" x14ac:dyDescent="0.25">
      <c r="A91" s="72" t="s">
        <v>23</v>
      </c>
      <c r="B91" s="65">
        <v>84530</v>
      </c>
      <c r="C91" s="65">
        <v>2988</v>
      </c>
      <c r="D91" s="114">
        <v>0.52200000000000002</v>
      </c>
      <c r="E91" s="596">
        <v>0.90299302022950434</v>
      </c>
    </row>
    <row r="92" spans="1:5" x14ac:dyDescent="0.25">
      <c r="A92" s="72" t="s">
        <v>2249</v>
      </c>
      <c r="B92" s="65">
        <v>108458</v>
      </c>
      <c r="C92" s="65">
        <v>3065</v>
      </c>
      <c r="D92" s="114">
        <v>0.64859999999999995</v>
      </c>
      <c r="E92" s="596">
        <v>0.92051300964428628</v>
      </c>
    </row>
    <row r="93" spans="1:5" x14ac:dyDescent="0.25">
      <c r="A93" s="72" t="s">
        <v>2250</v>
      </c>
      <c r="B93" s="65">
        <v>89511</v>
      </c>
      <c r="C93" s="65">
        <v>2964</v>
      </c>
      <c r="D93" s="114">
        <v>0.61980000000000002</v>
      </c>
      <c r="E93" s="596">
        <v>0.92867915675168411</v>
      </c>
    </row>
    <row r="94" spans="1:5" x14ac:dyDescent="0.25">
      <c r="A94" s="72" t="s">
        <v>2251</v>
      </c>
      <c r="B94" s="65">
        <v>124340</v>
      </c>
      <c r="C94" s="65">
        <v>2819</v>
      </c>
      <c r="D94" s="114">
        <v>0.86299999999999999</v>
      </c>
      <c r="E94" s="596">
        <v>0.93364967025896739</v>
      </c>
    </row>
    <row r="95" spans="1:5" x14ac:dyDescent="0.25">
      <c r="A95" s="72" t="s">
        <v>2252</v>
      </c>
      <c r="B95" s="65">
        <v>91410</v>
      </c>
      <c r="C95" s="65">
        <v>1923</v>
      </c>
      <c r="D95" s="114">
        <v>0.82</v>
      </c>
      <c r="E95" s="596">
        <v>0.9293293950333662</v>
      </c>
    </row>
    <row r="96" spans="1:5" x14ac:dyDescent="0.25">
      <c r="A96" s="72" t="s">
        <v>2253</v>
      </c>
      <c r="B96" s="65">
        <v>84820</v>
      </c>
      <c r="C96" s="65">
        <v>1621</v>
      </c>
      <c r="D96" s="114">
        <v>0.75</v>
      </c>
      <c r="E96" s="596">
        <v>0.88092431030417351</v>
      </c>
    </row>
    <row r="97" spans="1:5" x14ac:dyDescent="0.25">
      <c r="A97" s="72" t="s">
        <v>2254</v>
      </c>
      <c r="B97" s="65">
        <v>75610</v>
      </c>
      <c r="C97" s="65">
        <v>2518</v>
      </c>
      <c r="D97" s="114">
        <v>0.52200000000000002</v>
      </c>
      <c r="E97" s="596">
        <v>0.91165189789710355</v>
      </c>
    </row>
    <row r="98" spans="1:5" x14ac:dyDescent="0.25">
      <c r="A98" s="72" t="s">
        <v>2255</v>
      </c>
      <c r="B98" s="65">
        <v>79196.89540113158</v>
      </c>
      <c r="C98" s="65">
        <v>3255</v>
      </c>
      <c r="D98" s="114">
        <v>0.47399999999999998</v>
      </c>
      <c r="E98" s="596">
        <v>0.91165189789710355</v>
      </c>
    </row>
    <row r="99" spans="1:5" x14ac:dyDescent="0.25">
      <c r="A99" s="72" t="s">
        <v>2256</v>
      </c>
      <c r="B99" s="65">
        <v>127960</v>
      </c>
      <c r="C99" s="65">
        <v>3335.2646966100001</v>
      </c>
      <c r="D99" s="114">
        <v>0.77600000000000002</v>
      </c>
      <c r="E99" s="596">
        <v>0.93485464207564861</v>
      </c>
    </row>
    <row r="100" spans="1:5" x14ac:dyDescent="0.25">
      <c r="A100" s="72" t="s">
        <v>2257</v>
      </c>
      <c r="B100" s="65">
        <v>130030</v>
      </c>
      <c r="C100" s="65">
        <v>3017</v>
      </c>
      <c r="D100" s="114">
        <v>0.85299999999999998</v>
      </c>
      <c r="E100" s="596">
        <v>0.95108821041298164</v>
      </c>
    </row>
    <row r="101" spans="1:5" x14ac:dyDescent="0.25">
      <c r="A101" s="72" t="s">
        <v>2258</v>
      </c>
      <c r="B101" s="65">
        <v>125216.25794155018</v>
      </c>
      <c r="C101" s="65">
        <v>2835</v>
      </c>
      <c r="D101" s="114">
        <v>0.871</v>
      </c>
      <c r="E101" s="596">
        <v>0.93485464207564872</v>
      </c>
    </row>
    <row r="102" spans="1:5" x14ac:dyDescent="0.25">
      <c r="A102" s="72" t="s">
        <v>231</v>
      </c>
      <c r="B102" s="65">
        <v>130817</v>
      </c>
      <c r="C102" s="65">
        <v>2948</v>
      </c>
      <c r="D102" s="114">
        <v>0.871</v>
      </c>
      <c r="E102" s="596">
        <v>0.93938096730547249</v>
      </c>
    </row>
    <row r="103" spans="1:5" x14ac:dyDescent="0.25">
      <c r="A103" s="72" t="s">
        <v>2259</v>
      </c>
      <c r="B103" s="65">
        <v>133070.13702382601</v>
      </c>
      <c r="C103" s="65">
        <v>3003.2639480974099</v>
      </c>
      <c r="D103" s="114">
        <v>0.871</v>
      </c>
      <c r="E103" s="596">
        <v>0.92840083590406852</v>
      </c>
    </row>
    <row r="104" spans="1:5" x14ac:dyDescent="0.25">
      <c r="A104" s="72" t="s">
        <v>2260</v>
      </c>
      <c r="B104" s="65">
        <v>124410</v>
      </c>
      <c r="C104" s="65">
        <v>3020.9251842000003</v>
      </c>
      <c r="D104" s="114">
        <v>0.85799999999999998</v>
      </c>
      <c r="E104" s="596">
        <v>1</v>
      </c>
    </row>
    <row r="105" spans="1:5" x14ac:dyDescent="0.25">
      <c r="A105" s="72" t="s">
        <v>2261</v>
      </c>
      <c r="B105" s="65">
        <v>124230</v>
      </c>
      <c r="C105" s="65">
        <v>2830</v>
      </c>
      <c r="D105" s="114">
        <v>0.84</v>
      </c>
      <c r="E105" s="596">
        <v>0.93361506882395562</v>
      </c>
    </row>
    <row r="106" spans="1:5" x14ac:dyDescent="0.25">
      <c r="A106" s="72" t="s">
        <v>2262</v>
      </c>
      <c r="B106" s="65">
        <v>121365.86456635887</v>
      </c>
      <c r="C106" s="65">
        <v>2713</v>
      </c>
      <c r="D106" s="114">
        <v>0.83109999999999995</v>
      </c>
      <c r="E106" s="596">
        <v>0.93361506882395551</v>
      </c>
    </row>
    <row r="107" spans="1:5" x14ac:dyDescent="0.25">
      <c r="A107" s="72" t="s">
        <v>2263</v>
      </c>
      <c r="B107" s="65">
        <v>120028.80388505213</v>
      </c>
      <c r="C107" s="65">
        <v>2819</v>
      </c>
      <c r="D107" s="114">
        <v>0.86430000000000007</v>
      </c>
      <c r="E107" s="596">
        <v>0.93361506882395551</v>
      </c>
    </row>
    <row r="108" spans="1:5" x14ac:dyDescent="0.25">
      <c r="A108" s="72" t="s">
        <v>2264</v>
      </c>
      <c r="B108" s="65">
        <v>128103.33335647351</v>
      </c>
      <c r="C108" s="65">
        <v>2865.5561269999898</v>
      </c>
      <c r="D108" s="114">
        <v>0.84699999999999998</v>
      </c>
      <c r="E108" s="596">
        <v>0.93500003751584637</v>
      </c>
    </row>
    <row r="109" spans="1:5" x14ac:dyDescent="0.25">
      <c r="A109" s="72" t="s">
        <v>456</v>
      </c>
      <c r="B109" s="65">
        <v>36020</v>
      </c>
      <c r="C109" s="65">
        <v>268</v>
      </c>
      <c r="D109" s="114">
        <v>0</v>
      </c>
      <c r="E109" s="596">
        <v>0.84675180455302612</v>
      </c>
    </row>
    <row r="110" spans="1:5" x14ac:dyDescent="0.25">
      <c r="A110" s="72" t="s">
        <v>2265</v>
      </c>
      <c r="B110" s="65">
        <v>101130</v>
      </c>
      <c r="C110" s="65">
        <v>2811</v>
      </c>
      <c r="D110" s="114">
        <v>0.68100000000000005</v>
      </c>
      <c r="E110" s="596">
        <v>0.92494808662118067</v>
      </c>
    </row>
    <row r="111" spans="1:5" x14ac:dyDescent="0.25">
      <c r="A111" s="72" t="s">
        <v>2266</v>
      </c>
      <c r="B111" s="65">
        <v>104530</v>
      </c>
      <c r="C111" s="65">
        <v>2810</v>
      </c>
      <c r="D111" s="114">
        <v>0.70599999999999996</v>
      </c>
      <c r="E111" s="596">
        <v>0.92528460728977324</v>
      </c>
    </row>
    <row r="112" spans="1:5" x14ac:dyDescent="0.25">
      <c r="A112" s="72" t="s">
        <v>2267</v>
      </c>
      <c r="B112" s="65">
        <v>108570</v>
      </c>
      <c r="C112" s="65">
        <v>2913</v>
      </c>
      <c r="D112" s="114">
        <v>0.70599999999999996</v>
      </c>
      <c r="E112" s="596">
        <v>0.92548586165607438</v>
      </c>
    </row>
    <row r="113" spans="1:5" x14ac:dyDescent="0.25">
      <c r="A113" s="72" t="s">
        <v>2268</v>
      </c>
      <c r="B113" s="65">
        <v>103220</v>
      </c>
      <c r="C113" s="65">
        <v>2213</v>
      </c>
      <c r="D113" s="114">
        <v>0.82799999999999996</v>
      </c>
      <c r="E113" s="596">
        <v>0.92007362914163926</v>
      </c>
    </row>
    <row r="114" spans="1:5" x14ac:dyDescent="0.25">
      <c r="A114" s="72" t="s">
        <v>2269</v>
      </c>
      <c r="B114" s="65">
        <v>98560</v>
      </c>
      <c r="C114" s="65">
        <v>2118</v>
      </c>
      <c r="D114" s="114">
        <v>0.82799999999999996</v>
      </c>
      <c r="E114" s="596">
        <v>0.91375811688311692</v>
      </c>
    </row>
    <row r="115" spans="1:5" x14ac:dyDescent="0.25">
      <c r="A115" s="72" t="s">
        <v>2270</v>
      </c>
      <c r="B115" s="65">
        <v>103010</v>
      </c>
      <c r="C115" s="65">
        <v>2253</v>
      </c>
      <c r="D115" s="114">
        <v>0.85699999999999998</v>
      </c>
      <c r="E115" s="596">
        <v>0.92923017182797785</v>
      </c>
    </row>
    <row r="116" spans="1:5" x14ac:dyDescent="0.25">
      <c r="A116" s="72" t="s">
        <v>25</v>
      </c>
      <c r="B116" s="65">
        <v>91420</v>
      </c>
      <c r="C116" s="65">
        <v>1920</v>
      </c>
      <c r="D116" s="114">
        <v>0.81799999999999995</v>
      </c>
      <c r="E116" s="596">
        <v>0.92157077225989936</v>
      </c>
    </row>
    <row r="117" spans="1:5" x14ac:dyDescent="0.25">
      <c r="A117" s="72" t="s">
        <v>2271</v>
      </c>
      <c r="B117" s="65">
        <v>90050</v>
      </c>
      <c r="C117" s="65">
        <v>2532</v>
      </c>
      <c r="D117" s="114"/>
      <c r="E117" s="596">
        <v>0.92932939503336609</v>
      </c>
    </row>
    <row r="118" spans="1:5" x14ac:dyDescent="0.25">
      <c r="A118" s="72" t="s">
        <v>2272</v>
      </c>
      <c r="B118" s="65">
        <v>112166.3</v>
      </c>
      <c r="C118" s="65">
        <v>2478.6999999999998</v>
      </c>
      <c r="D118" s="114">
        <v>0.83625099999999997</v>
      </c>
      <c r="E118" s="596">
        <v>0.93722267739953979</v>
      </c>
    </row>
    <row r="119" spans="1:5" x14ac:dyDescent="0.25">
      <c r="A119" s="72" t="s">
        <v>2273</v>
      </c>
      <c r="B119" s="65">
        <v>117211.35510798359</v>
      </c>
      <c r="C119" s="65">
        <v>2607.5839999999998</v>
      </c>
      <c r="D119" s="114">
        <v>0.84021816798046989</v>
      </c>
      <c r="E119" s="596">
        <v>0.94481263924838355</v>
      </c>
    </row>
    <row r="120" spans="1:5" x14ac:dyDescent="0.25">
      <c r="A120" s="72" t="s">
        <v>2274</v>
      </c>
      <c r="B120" s="65">
        <v>124276.8816365008</v>
      </c>
      <c r="C120" s="65">
        <v>2792.0839999999998</v>
      </c>
      <c r="D120" s="114">
        <v>0.84604875243517474</v>
      </c>
      <c r="E120" s="596">
        <v>0.94121580017102235</v>
      </c>
    </row>
    <row r="121" spans="1:5" x14ac:dyDescent="0.25">
      <c r="A121" s="72" t="s">
        <v>2275</v>
      </c>
      <c r="B121" s="65">
        <v>128217.81949485274</v>
      </c>
      <c r="C121" s="65">
        <v>2897.6329999999998</v>
      </c>
      <c r="D121" s="114">
        <v>0.84934397549466933</v>
      </c>
      <c r="E121" s="596">
        <v>0.94231119798774066</v>
      </c>
    </row>
    <row r="122" spans="1:5" x14ac:dyDescent="0.25">
      <c r="A122" s="72" t="s">
        <v>2276</v>
      </c>
      <c r="B122" s="65">
        <v>123392.78899954072</v>
      </c>
      <c r="C122" s="65">
        <v>2769.6939828148488</v>
      </c>
      <c r="D122" s="114">
        <v>0.84538047025734175</v>
      </c>
      <c r="E122" s="596">
        <v>0.94244570805205152</v>
      </c>
    </row>
    <row r="123" spans="1:5" x14ac:dyDescent="0.25">
      <c r="A123" s="72" t="s">
        <v>2277</v>
      </c>
      <c r="B123" s="65">
        <v>105700</v>
      </c>
      <c r="C123" s="65">
        <v>3028.3300274063863</v>
      </c>
      <c r="D123" s="114">
        <v>0.64864864864864868</v>
      </c>
      <c r="E123" s="596">
        <v>0.90155283865576308</v>
      </c>
    </row>
    <row r="124" spans="1:5" x14ac:dyDescent="0.25">
      <c r="A124" s="72" t="s">
        <v>2278</v>
      </c>
      <c r="B124" s="65">
        <v>124230</v>
      </c>
      <c r="C124" s="65">
        <v>2830</v>
      </c>
      <c r="D124" s="114">
        <v>0.84</v>
      </c>
      <c r="E124" s="596">
        <v>0.93361506882395562</v>
      </c>
    </row>
    <row r="125" spans="1:5" x14ac:dyDescent="0.25">
      <c r="A125" s="72" t="s">
        <v>2279</v>
      </c>
      <c r="B125" s="65">
        <v>133460.42696564356</v>
      </c>
      <c r="C125" s="65">
        <v>2949.8950840799994</v>
      </c>
      <c r="D125" s="114">
        <v>0.84848484848484851</v>
      </c>
      <c r="E125" s="596">
        <v>0.93016753769060367</v>
      </c>
    </row>
    <row r="126" spans="1:5" x14ac:dyDescent="0.25">
      <c r="A126" s="72" t="s">
        <v>2280</v>
      </c>
      <c r="B126" s="65">
        <v>134482.21159805206</v>
      </c>
      <c r="C126" s="65">
        <v>3179.7452399999997</v>
      </c>
      <c r="D126" s="114">
        <v>0.80597014925373134</v>
      </c>
      <c r="E126" s="596">
        <v>0.93377188092317998</v>
      </c>
    </row>
    <row r="127" spans="1:5" x14ac:dyDescent="0.25">
      <c r="A127" s="72" t="s">
        <v>2281</v>
      </c>
      <c r="B127" s="65">
        <v>130005.67943331707</v>
      </c>
      <c r="C127" s="65">
        <v>3175.9598289999994</v>
      </c>
      <c r="D127" s="114">
        <v>0.78269999999999995</v>
      </c>
      <c r="E127" s="596">
        <v>0.93832693190192873</v>
      </c>
    </row>
    <row r="128" spans="1:5" x14ac:dyDescent="0.25">
      <c r="A128" s="72" t="s">
        <v>2282</v>
      </c>
      <c r="B128" s="65"/>
      <c r="C128" s="65">
        <v>3637.8108073999997</v>
      </c>
      <c r="D128" s="114">
        <v>0.85340000000000005</v>
      </c>
      <c r="E128" s="52"/>
    </row>
    <row r="129" spans="1:5" x14ac:dyDescent="0.25">
      <c r="A129" s="72" t="s">
        <v>2283</v>
      </c>
      <c r="B129" s="65"/>
      <c r="C129" s="65">
        <v>3646.8826547999993</v>
      </c>
      <c r="D129" s="114">
        <v>0.84150000000000003</v>
      </c>
      <c r="E129" s="52"/>
    </row>
    <row r="130" spans="1:5" x14ac:dyDescent="0.25">
      <c r="A130" s="72" t="s">
        <v>2284</v>
      </c>
      <c r="B130" s="65"/>
      <c r="C130" s="65">
        <v>4533.9436333116819</v>
      </c>
      <c r="D130" s="114">
        <v>0.437</v>
      </c>
      <c r="E130" s="52"/>
    </row>
    <row r="131" spans="1:5" x14ac:dyDescent="0.25">
      <c r="A131" s="72" t="s">
        <v>2285</v>
      </c>
      <c r="B131" s="65"/>
      <c r="C131" s="65">
        <v>3689.2580177520322</v>
      </c>
      <c r="D131" s="114">
        <v>0.75700000000000001</v>
      </c>
      <c r="E131" s="52"/>
    </row>
    <row r="132" spans="1:5" x14ac:dyDescent="0.25">
      <c r="A132" s="72" t="s">
        <v>2286</v>
      </c>
      <c r="B132" s="65"/>
      <c r="C132" s="65">
        <v>3676.6399252923989</v>
      </c>
      <c r="D132" s="114">
        <v>0.751</v>
      </c>
      <c r="E132" s="52"/>
    </row>
    <row r="133" spans="1:5" x14ac:dyDescent="0.25">
      <c r="A133" s="72" t="s">
        <v>2287</v>
      </c>
      <c r="B133" s="65"/>
      <c r="C133" s="65">
        <v>3151</v>
      </c>
      <c r="D133" s="114">
        <v>0.86470000000000002</v>
      </c>
      <c r="E133" s="52"/>
    </row>
    <row r="134" spans="1:5" x14ac:dyDescent="0.25">
      <c r="A134" s="72" t="s">
        <v>2288</v>
      </c>
      <c r="B134" s="65">
        <v>116963.76491445</v>
      </c>
      <c r="C134" s="65">
        <v>2599.4406415121098</v>
      </c>
      <c r="D134" s="114">
        <v>0.83138369600000006</v>
      </c>
      <c r="E134" s="52"/>
    </row>
    <row r="135" spans="1:5" x14ac:dyDescent="0.25">
      <c r="A135" s="72" t="s">
        <v>2289</v>
      </c>
      <c r="B135" s="65">
        <v>126124.78706897001</v>
      </c>
      <c r="C135" s="65">
        <v>2805.4421680103501</v>
      </c>
      <c r="D135" s="114">
        <v>0.84607581700000001</v>
      </c>
      <c r="E135" s="52"/>
    </row>
    <row r="136" spans="1:5" x14ac:dyDescent="0.25">
      <c r="A136" s="72" t="s">
        <v>2290</v>
      </c>
      <c r="B136" s="65">
        <v>130269.091480068</v>
      </c>
      <c r="C136" s="65">
        <v>2909.12062219889</v>
      </c>
      <c r="D136" s="114">
        <v>0.848735774</v>
      </c>
      <c r="E136" s="52"/>
    </row>
    <row r="137" spans="1:5" x14ac:dyDescent="0.25">
      <c r="A137" s="72" t="s">
        <v>2291</v>
      </c>
      <c r="B137" s="65">
        <v>119858.923303142</v>
      </c>
      <c r="C137" s="65">
        <v>2667.7232819999999</v>
      </c>
      <c r="D137" s="114">
        <v>0.841590604326105</v>
      </c>
      <c r="E137" s="52"/>
    </row>
    <row r="138" spans="1:5" x14ac:dyDescent="0.25">
      <c r="A138" s="72" t="s">
        <v>2292</v>
      </c>
      <c r="B138" s="65">
        <v>40571</v>
      </c>
      <c r="C138" s="65">
        <v>2281.8458000000001</v>
      </c>
      <c r="D138" s="114">
        <v>0</v>
      </c>
      <c r="E138" s="596">
        <v>1</v>
      </c>
    </row>
    <row r="139" spans="1:5" x14ac:dyDescent="0.25">
      <c r="A139" s="72"/>
      <c r="E139" s="52"/>
    </row>
    <row r="140" spans="1:5" ht="15.75" thickBot="1" x14ac:dyDescent="0.3">
      <c r="A140" s="594" t="s">
        <v>2308</v>
      </c>
      <c r="B140" s="88" t="s">
        <v>2293</v>
      </c>
      <c r="C140" s="88" t="s">
        <v>2294</v>
      </c>
      <c r="D140" s="88" t="s">
        <v>2307</v>
      </c>
      <c r="E140" s="110" t="s">
        <v>2227</v>
      </c>
    </row>
    <row r="141" spans="1:5" ht="15.75" thickTop="1" x14ac:dyDescent="0.25">
      <c r="A141" s="72" t="s">
        <v>250</v>
      </c>
      <c r="B141" s="65">
        <v>1089</v>
      </c>
      <c r="C141" s="520">
        <v>22</v>
      </c>
      <c r="D141" s="114">
        <v>0.72399999999999998</v>
      </c>
      <c r="E141" s="596">
        <v>0.90266299357208446</v>
      </c>
    </row>
    <row r="142" spans="1:5" x14ac:dyDescent="0.25">
      <c r="A142" s="72" t="s">
        <v>2295</v>
      </c>
      <c r="B142" s="65">
        <v>1089</v>
      </c>
      <c r="C142" s="520">
        <v>22</v>
      </c>
      <c r="D142" s="114">
        <v>0.72399999999999998</v>
      </c>
      <c r="E142" s="596">
        <v>0.90266299357208446</v>
      </c>
    </row>
    <row r="143" spans="1:5" x14ac:dyDescent="0.25">
      <c r="A143" s="72" t="s">
        <v>2296</v>
      </c>
      <c r="B143" s="65">
        <v>1064.6260892329301</v>
      </c>
      <c r="C143" s="520">
        <v>20.294918982129801</v>
      </c>
      <c r="D143" s="114">
        <v>0.74676708210032305</v>
      </c>
      <c r="E143" s="596">
        <v>0.90083548512216971</v>
      </c>
    </row>
    <row r="144" spans="1:5" x14ac:dyDescent="0.25">
      <c r="A144" s="72" t="s">
        <v>2297</v>
      </c>
      <c r="B144" s="65">
        <v>1068.0254046214709</v>
      </c>
      <c r="C144" s="520">
        <v>20.303179298999996</v>
      </c>
      <c r="D144" s="114">
        <v>0.75</v>
      </c>
      <c r="E144" s="596">
        <v>0.9009009009009008</v>
      </c>
    </row>
    <row r="145" spans="1:5" x14ac:dyDescent="0.25">
      <c r="A145" s="72" t="s">
        <v>2298</v>
      </c>
      <c r="B145" s="65">
        <v>343</v>
      </c>
      <c r="C145" s="520">
        <v>2.5499999999999998</v>
      </c>
      <c r="D145" s="114">
        <v>0</v>
      </c>
      <c r="E145" s="596">
        <v>0.84548104956268222</v>
      </c>
    </row>
    <row r="146" spans="1:5" x14ac:dyDescent="0.25">
      <c r="A146" s="72" t="s">
        <v>2299</v>
      </c>
      <c r="B146" s="65"/>
      <c r="C146" s="520">
        <v>55.977829999999997</v>
      </c>
      <c r="D146" s="114">
        <v>0.27272727272727271</v>
      </c>
      <c r="E146" s="596"/>
    </row>
    <row r="147" spans="1:5" x14ac:dyDescent="0.25">
      <c r="A147" s="332" t="s">
        <v>2300</v>
      </c>
      <c r="B147" s="20">
        <v>1279.7381453012381</v>
      </c>
      <c r="C147" s="597">
        <v>25.019852271678111</v>
      </c>
      <c r="D147" s="598">
        <v>0.76981385823883608</v>
      </c>
      <c r="E147" s="599">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69" t="s">
        <v>4287</v>
      </c>
    </row>
    <row r="2" spans="1:3" ht="15.75" thickBot="1" x14ac:dyDescent="0.3">
      <c r="A2" s="88" t="s">
        <v>4288</v>
      </c>
      <c r="B2" s="88" t="s">
        <v>4289</v>
      </c>
      <c r="C2" s="88" t="s">
        <v>4298</v>
      </c>
    </row>
    <row r="3" spans="1:3" ht="15.75" thickTop="1" x14ac:dyDescent="0.25">
      <c r="A3" t="s">
        <v>4299</v>
      </c>
      <c r="B3" t="s">
        <v>4300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4050</v>
      </c>
    </row>
    <row r="6" spans="1:1" x14ac:dyDescent="0.25">
      <c r="A6" s="56" t="s">
        <v>780</v>
      </c>
    </row>
    <row r="7" spans="1:1" x14ac:dyDescent="0.25">
      <c r="A7" s="56" t="s">
        <v>1115</v>
      </c>
    </row>
    <row r="8" spans="1:1" x14ac:dyDescent="0.25">
      <c r="A8" s="56" t="s">
        <v>2126</v>
      </c>
    </row>
    <row r="9" spans="1:1" x14ac:dyDescent="0.25">
      <c r="A9" s="56" t="s">
        <v>1126</v>
      </c>
    </row>
    <row r="10" spans="1:1" x14ac:dyDescent="0.25">
      <c r="A10" s="56" t="s">
        <v>154</v>
      </c>
    </row>
    <row r="11" spans="1:1" x14ac:dyDescent="0.25">
      <c r="A11" s="56" t="s">
        <v>1903</v>
      </c>
    </row>
    <row r="12" spans="1:1" x14ac:dyDescent="0.25">
      <c r="A12" s="56" t="s">
        <v>1904</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2980</v>
      </c>
    </row>
    <row r="18" spans="1:1" x14ac:dyDescent="0.25">
      <c r="A18" s="56" t="s">
        <v>156</v>
      </c>
    </row>
    <row r="19" spans="1:1" x14ac:dyDescent="0.25">
      <c r="A19" s="56" t="s">
        <v>157</v>
      </c>
    </row>
    <row r="20" spans="1:1" x14ac:dyDescent="0.25">
      <c r="A20" s="56" t="s">
        <v>2939</v>
      </c>
    </row>
    <row r="21" spans="1:1" x14ac:dyDescent="0.25">
      <c r="A21" s="56" t="s">
        <v>1644</v>
      </c>
    </row>
    <row r="22" spans="1:1" x14ac:dyDescent="0.25">
      <c r="A22" s="56" t="s">
        <v>4700</v>
      </c>
    </row>
    <row r="23" spans="1:1" x14ac:dyDescent="0.25">
      <c r="A23" s="56" t="s">
        <v>158</v>
      </c>
    </row>
    <row r="24" spans="1:1" x14ac:dyDescent="0.25">
      <c r="A24" s="56" t="s">
        <v>1420</v>
      </c>
    </row>
    <row r="25" spans="1:1" x14ac:dyDescent="0.25">
      <c r="A25" s="56" t="s">
        <v>4055</v>
      </c>
    </row>
    <row r="26" spans="1:1" x14ac:dyDescent="0.25">
      <c r="A26" s="56" t="s">
        <v>422</v>
      </c>
    </row>
    <row r="27" spans="1:1" x14ac:dyDescent="0.25">
      <c r="A27" s="56" t="s">
        <v>2877</v>
      </c>
    </row>
    <row r="28" spans="1:1" x14ac:dyDescent="0.25">
      <c r="A28" s="56" t="s">
        <v>1042</v>
      </c>
    </row>
    <row r="29" spans="1:1" x14ac:dyDescent="0.25">
      <c r="A29" s="56" t="s">
        <v>2979</v>
      </c>
    </row>
    <row r="30" spans="1:1" x14ac:dyDescent="0.25">
      <c r="A30" s="56" t="s">
        <v>423</v>
      </c>
    </row>
    <row r="31" spans="1:1" x14ac:dyDescent="0.25">
      <c r="A31" s="56" t="s">
        <v>1861</v>
      </c>
    </row>
    <row r="32" spans="1:1" x14ac:dyDescent="0.25">
      <c r="A32" s="56" t="s">
        <v>159</v>
      </c>
    </row>
    <row r="33" spans="1:1" x14ac:dyDescent="0.25">
      <c r="A33" s="56" t="s">
        <v>4089</v>
      </c>
    </row>
    <row r="34" spans="1:1" x14ac:dyDescent="0.25">
      <c r="A34" s="56" t="s">
        <v>180</v>
      </c>
    </row>
    <row r="35" spans="1:1" x14ac:dyDescent="0.25">
      <c r="A35" s="56" t="s">
        <v>4067</v>
      </c>
    </row>
    <row r="36" spans="1:1" x14ac:dyDescent="0.25">
      <c r="A36" s="56" t="s">
        <v>782</v>
      </c>
    </row>
    <row r="37" spans="1:1" x14ac:dyDescent="0.25">
      <c r="A37" s="56" t="s">
        <v>2937</v>
      </c>
    </row>
    <row r="38" spans="1:1" x14ac:dyDescent="0.25">
      <c r="A38" s="56" t="s">
        <v>2134</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1906</v>
      </c>
    </row>
    <row r="46" spans="1:1" x14ac:dyDescent="0.25">
      <c r="A46" s="56" t="s">
        <v>4634</v>
      </c>
    </row>
    <row r="47" spans="1:1" x14ac:dyDescent="0.25">
      <c r="A47" s="56" t="s">
        <v>1829</v>
      </c>
    </row>
    <row r="48" spans="1:1" x14ac:dyDescent="0.25">
      <c r="A48" s="56" t="s">
        <v>1634</v>
      </c>
    </row>
    <row r="49" spans="1:1" x14ac:dyDescent="0.25">
      <c r="A49" s="56" t="s">
        <v>4301</v>
      </c>
    </row>
    <row r="50" spans="1:1" x14ac:dyDescent="0.25">
      <c r="A50" s="56" t="s">
        <v>160</v>
      </c>
    </row>
    <row r="51" spans="1:1" x14ac:dyDescent="0.25">
      <c r="A51" s="56" t="s">
        <v>4642</v>
      </c>
    </row>
    <row r="52" spans="1:1" x14ac:dyDescent="0.25">
      <c r="A52" s="56" t="s">
        <v>2189</v>
      </c>
    </row>
    <row r="53" spans="1:1" x14ac:dyDescent="0.25">
      <c r="A53" s="56" t="s">
        <v>1832</v>
      </c>
    </row>
    <row r="54" spans="1:1" x14ac:dyDescent="0.25">
      <c r="A54" s="56" t="s">
        <v>4364</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2829</v>
      </c>
    </row>
    <row r="63" spans="1:1" x14ac:dyDescent="0.25">
      <c r="A63" s="56" t="s">
        <v>166</v>
      </c>
    </row>
    <row r="64" spans="1:1" x14ac:dyDescent="0.25">
      <c r="A64" s="56" t="s">
        <v>4029</v>
      </c>
    </row>
    <row r="65" spans="1:1" x14ac:dyDescent="0.25">
      <c r="A65" s="56" t="s">
        <v>4742</v>
      </c>
    </row>
    <row r="66" spans="1:1" x14ac:dyDescent="0.25">
      <c r="A66" s="56" t="s">
        <v>2667</v>
      </c>
    </row>
    <row r="67" spans="1:1" x14ac:dyDescent="0.25">
      <c r="A67" s="56" t="s">
        <v>4201</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39</vt:i4>
      </vt:variant>
    </vt:vector>
  </HeadingPairs>
  <TitlesOfParts>
    <vt:vector size="69"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2025-06-12T17:02:44Z</dcterms:modified>
</cp:coreProperties>
</file>