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663" documentId="14_{1789F6B0-7FB8-4847-B75E-E896EB9CD7ED}" xr6:coauthVersionLast="47" xr6:coauthVersionMax="47" xr10:uidLastSave="{88A88D95-71DE-44C6-95A4-6C191A51530E}"/>
  <bookViews>
    <workbookView xWindow="-120" yWindow="-120" windowWidth="38640" windowHeight="21120" tabRatio="719" firstSheet="7" activeTab="10"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5" i="26" l="1"/>
  <c r="H75" i="26"/>
  <c r="G75" i="26"/>
  <c r="F75" i="26"/>
  <c r="I74" i="26"/>
  <c r="H74" i="26"/>
  <c r="G74" i="26"/>
  <c r="F74" i="26"/>
  <c r="I73" i="26"/>
  <c r="H73" i="26"/>
  <c r="G73" i="26"/>
  <c r="F73" i="26"/>
  <c r="I72" i="26"/>
  <c r="H72" i="26"/>
  <c r="G72" i="26"/>
  <c r="F72" i="26"/>
  <c r="I71" i="26"/>
  <c r="H71" i="26"/>
  <c r="G71" i="26"/>
  <c r="F71" i="26"/>
  <c r="I70" i="26"/>
  <c r="H70" i="26"/>
  <c r="G70" i="26"/>
  <c r="F70" i="26"/>
  <c r="I63" i="26"/>
  <c r="H63" i="26"/>
  <c r="G63" i="26"/>
  <c r="F63" i="26"/>
  <c r="E17" i="27" l="1"/>
  <c r="E63" i="27"/>
  <c r="R74" i="26"/>
  <c r="P72" i="26"/>
  <c r="P73" i="26" s="1"/>
  <c r="S73" i="26" s="1"/>
  <c r="T73" i="26" s="1"/>
  <c r="U73" i="26" s="1"/>
  <c r="AD152" i="26"/>
  <c r="AD132" i="26"/>
  <c r="AD112" i="26"/>
  <c r="AD92" i="26"/>
  <c r="AD72" i="26"/>
  <c r="AD52" i="26"/>
  <c r="P65" i="26"/>
  <c r="P66" i="26" s="1"/>
  <c r="P54" i="26"/>
  <c r="S59" i="26" s="1"/>
  <c r="T59" i="26" s="1"/>
  <c r="U59" i="26" s="1"/>
  <c r="AR40" i="20"/>
  <c r="AQ40" i="20"/>
  <c r="AP40" i="20"/>
  <c r="AO40" i="20"/>
  <c r="AN40" i="20"/>
  <c r="AM40" i="20"/>
  <c r="AR39" i="20"/>
  <c r="AQ39" i="20"/>
  <c r="AP39" i="20"/>
  <c r="AO39" i="20"/>
  <c r="AN39" i="20"/>
  <c r="AM39" i="20"/>
  <c r="AR38" i="20"/>
  <c r="AQ38" i="20"/>
  <c r="AP38" i="20"/>
  <c r="AO38" i="20"/>
  <c r="AN38" i="20"/>
  <c r="AM38" i="20"/>
  <c r="AR37" i="20"/>
  <c r="AQ37" i="20"/>
  <c r="AP37" i="20"/>
  <c r="AO37" i="20"/>
  <c r="AN37" i="20"/>
  <c r="AM37" i="20"/>
  <c r="AR36" i="20"/>
  <c r="AQ36" i="20"/>
  <c r="AP36" i="20"/>
  <c r="AO36" i="20"/>
  <c r="AN36" i="20"/>
  <c r="AM36" i="20"/>
  <c r="AL40" i="20"/>
  <c r="AL39" i="20"/>
  <c r="AL38" i="20"/>
  <c r="AL37" i="20"/>
  <c r="AL36" i="20"/>
  <c r="AL34" i="20"/>
  <c r="BG91" i="30"/>
  <c r="BG90" i="30"/>
  <c r="AL143" i="24"/>
  <c r="AL142" i="24"/>
  <c r="AL141" i="24"/>
  <c r="AL140" i="24"/>
  <c r="AL139" i="24"/>
  <c r="AL138" i="24"/>
  <c r="AL137" i="24"/>
  <c r="AL136" i="24"/>
  <c r="AL126" i="24"/>
  <c r="AL127" i="24"/>
  <c r="AL128" i="24"/>
  <c r="AL129" i="24"/>
  <c r="AL130" i="24"/>
  <c r="AL131" i="24"/>
  <c r="AL134" i="24"/>
  <c r="AL133" i="24"/>
  <c r="BV55" i="16"/>
  <c r="BV42" i="16"/>
  <c r="AU13" i="20"/>
  <c r="AU26" i="20"/>
  <c r="AW138" i="24"/>
  <c r="AW137" i="24"/>
  <c r="AW135" i="24"/>
  <c r="AW134" i="24"/>
  <c r="AW132" i="24"/>
  <c r="AW131" i="24"/>
  <c r="AW129" i="24"/>
  <c r="AW128" i="24"/>
  <c r="AW127" i="24"/>
  <c r="AW126" i="24"/>
  <c r="AS134" i="24"/>
  <c r="AS133" i="24"/>
  <c r="AS132" i="24"/>
  <c r="AS131" i="24"/>
  <c r="AS130" i="24"/>
  <c r="AS129" i="24"/>
  <c r="AS128" i="24"/>
  <c r="AS127" i="24"/>
  <c r="AS126" i="24"/>
  <c r="AS125" i="24"/>
  <c r="J3" i="30"/>
  <c r="K3" i="30"/>
  <c r="L3" i="30"/>
  <c r="M3" i="30"/>
  <c r="N3" i="30"/>
  <c r="O3" i="30"/>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S74" i="26" l="1"/>
  <c r="T74" i="26" s="1"/>
  <c r="U74" i="26" s="1"/>
  <c r="S75" i="26"/>
  <c r="T75" i="26" s="1"/>
  <c r="U75" i="26" s="1"/>
  <c r="R58" i="26"/>
  <c r="R59" i="26"/>
  <c r="R60" i="26"/>
  <c r="R73" i="26"/>
  <c r="R61" i="26"/>
  <c r="R62" i="26"/>
  <c r="R67" i="26"/>
  <c r="R68" i="26"/>
  <c r="R69" i="26"/>
  <c r="R75" i="26"/>
  <c r="S60" i="26"/>
  <c r="T60" i="26" s="1"/>
  <c r="U60" i="26" s="1"/>
  <c r="S61" i="26"/>
  <c r="T61" i="26" s="1"/>
  <c r="U61" i="26" s="1"/>
  <c r="S62" i="26"/>
  <c r="S67" i="26"/>
  <c r="T67" i="26" s="1"/>
  <c r="U67" i="26" s="1"/>
  <c r="S68" i="26"/>
  <c r="T68" i="26" s="1"/>
  <c r="U68" i="26" s="1"/>
  <c r="S69" i="26"/>
  <c r="T69" i="26" s="1"/>
  <c r="U69" i="26" s="1"/>
  <c r="P55" i="26"/>
  <c r="S58" i="26"/>
  <c r="T58" i="26" s="1"/>
  <c r="U58" i="26" s="1"/>
  <c r="G101" i="43"/>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AG53" i="3"/>
  <c r="F18" i="26"/>
  <c r="AI127" i="16"/>
  <c r="AH127" i="16"/>
  <c r="AG127" i="16"/>
  <c r="AF127" i="16"/>
  <c r="AE127" i="16"/>
  <c r="AD127" i="16"/>
  <c r="AC127" i="16"/>
  <c r="AI125" i="16"/>
  <c r="AH125" i="16"/>
  <c r="AG125" i="16"/>
  <c r="AF125" i="16"/>
  <c r="AE125" i="16"/>
  <c r="AD125" i="16"/>
  <c r="AC125" i="16"/>
  <c r="F68" i="26" l="1"/>
  <c r="F67" i="26"/>
  <c r="F66" i="26"/>
  <c r="F65" i="26"/>
  <c r="F64" i="26"/>
  <c r="F69" i="26"/>
  <c r="T62" i="26"/>
  <c r="U62" i="26" s="1"/>
  <c r="AJ11" i="43"/>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P5" i="26" l="1"/>
  <c r="F58" i="26"/>
  <c r="F53" i="26"/>
  <c r="F62" i="26"/>
  <c r="F57" i="26"/>
  <c r="F52" i="26"/>
  <c r="F61" i="26"/>
  <c r="F56" i="26"/>
  <c r="F60" i="26"/>
  <c r="F55" i="26"/>
  <c r="F59" i="26"/>
  <c r="F54" i="26"/>
  <c r="BS22" i="24"/>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11" i="26" l="1"/>
  <c r="AS5" i="26"/>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AT3" i="26" l="1"/>
  <c r="I3" i="26"/>
  <c r="H3" i="26"/>
  <c r="J36" i="26" s="1"/>
  <c r="L18" i="26"/>
  <c r="K18" i="26"/>
  <c r="H17" i="26"/>
  <c r="J18" i="26"/>
  <c r="I18" i="26"/>
  <c r="H18" i="26"/>
  <c r="H21" i="26"/>
  <c r="K26" i="26"/>
  <c r="L26" i="26"/>
  <c r="H27" i="26"/>
  <c r="G27" i="26" s="1"/>
  <c r="I27" i="26"/>
  <c r="K27" i="26"/>
  <c r="L27" i="26"/>
  <c r="H24" i="26"/>
  <c r="I25" i="26"/>
  <c r="I21" i="26"/>
  <c r="J25" i="26"/>
  <c r="J21" i="26"/>
  <c r="K25" i="26"/>
  <c r="K21" i="26"/>
  <c r="L25" i="26"/>
  <c r="L21" i="26"/>
  <c r="H26" i="26"/>
  <c r="G26" i="26" s="1"/>
  <c r="I22" i="26"/>
  <c r="J22" i="26"/>
  <c r="L22" i="26"/>
  <c r="I24" i="26"/>
  <c r="H23" i="26"/>
  <c r="G23" i="26" s="1"/>
  <c r="J24" i="26"/>
  <c r="I23" i="26"/>
  <c r="K24" i="26"/>
  <c r="K23" i="26"/>
  <c r="L24" i="26"/>
  <c r="L23" i="26"/>
  <c r="H25" i="26"/>
  <c r="G25" i="26" s="1"/>
  <c r="H22" i="26"/>
  <c r="G22" i="26" s="1"/>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J11" i="26"/>
  <c r="L6" i="26"/>
  <c r="I5" i="26"/>
  <c r="K11" i="26"/>
  <c r="H7" i="26"/>
  <c r="G7" i="26" s="1"/>
  <c r="J5" i="26"/>
  <c r="L11" i="26"/>
  <c r="I7" i="26"/>
  <c r="K5" i="26"/>
  <c r="H8" i="26"/>
  <c r="J7" i="26"/>
  <c r="L5" i="26"/>
  <c r="K7" i="26"/>
  <c r="H6" i="26"/>
  <c r="G6" i="26" s="1"/>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AQ7" i="26"/>
  <c r="AR7" i="26"/>
  <c r="AQ5" i="26"/>
  <c r="AR5" i="26"/>
  <c r="AQ4" i="26"/>
  <c r="G12" i="26"/>
  <c r="AR4" i="26"/>
  <c r="AR11" i="26"/>
  <c r="AR10" i="26"/>
  <c r="AR9" i="26"/>
  <c r="AR8" i="26"/>
  <c r="AQ11" i="26"/>
  <c r="AQ10" i="26"/>
  <c r="AQ9" i="26"/>
  <c r="AQ8" i="26"/>
  <c r="L40" i="26"/>
  <c r="J40" i="26"/>
  <c r="I40" i="26"/>
  <c r="I36" i="26"/>
  <c r="I32" i="26"/>
  <c r="H40" i="26"/>
  <c r="H36" i="26"/>
  <c r="H32" i="26"/>
  <c r="L39" i="26"/>
  <c r="L35" i="26"/>
  <c r="H35" i="26"/>
  <c r="H31" i="26"/>
  <c r="L38" i="26"/>
  <c r="L34" i="26"/>
  <c r="L30" i="26"/>
  <c r="J34" i="26"/>
  <c r="G3" i="26"/>
  <c r="L33" i="26"/>
  <c r="J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G67" i="26" l="1"/>
  <c r="G65" i="26"/>
  <c r="G64" i="26"/>
  <c r="G69" i="26"/>
  <c r="G68" i="26"/>
  <c r="G66" i="26"/>
  <c r="H67" i="26"/>
  <c r="I66" i="26"/>
  <c r="H66" i="26"/>
  <c r="I65" i="26"/>
  <c r="H65" i="26"/>
  <c r="I67" i="26"/>
  <c r="I64" i="26"/>
  <c r="I69" i="26"/>
  <c r="H64" i="26"/>
  <c r="H69" i="26"/>
  <c r="I68" i="26"/>
  <c r="H68" i="26"/>
  <c r="K58" i="26"/>
  <c r="I62" i="26"/>
  <c r="I57" i="26"/>
  <c r="I52" i="26"/>
  <c r="H62" i="26"/>
  <c r="H57" i="26"/>
  <c r="H52" i="26"/>
  <c r="I61" i="26"/>
  <c r="I56" i="26"/>
  <c r="H61" i="26"/>
  <c r="H56" i="26"/>
  <c r="I58" i="26"/>
  <c r="I53" i="26"/>
  <c r="H58" i="26"/>
  <c r="I60" i="26"/>
  <c r="I55" i="26"/>
  <c r="H60" i="26"/>
  <c r="H55" i="26"/>
  <c r="I59" i="26"/>
  <c r="I54" i="26"/>
  <c r="H59" i="26"/>
  <c r="H54" i="26"/>
  <c r="H53" i="26"/>
  <c r="L37" i="26"/>
  <c r="I38" i="26"/>
  <c r="J30" i="26"/>
  <c r="J38" i="26"/>
  <c r="K38" i="26"/>
  <c r="H37" i="26"/>
  <c r="H39" i="26"/>
  <c r="I33" i="26"/>
  <c r="I31" i="26"/>
  <c r="I37" i="26"/>
  <c r="K31" i="26"/>
  <c r="J33" i="26"/>
  <c r="L31" i="26"/>
  <c r="K30" i="26"/>
  <c r="J32" i="26"/>
  <c r="K34" i="26"/>
  <c r="K64" i="26"/>
  <c r="J64" i="26"/>
  <c r="L68" i="26"/>
  <c r="K68" i="26"/>
  <c r="J68" i="26"/>
  <c r="K65" i="26"/>
  <c r="L64" i="26"/>
  <c r="K67" i="26"/>
  <c r="J66" i="26"/>
  <c r="L65" i="26"/>
  <c r="J69" i="26"/>
  <c r="J67" i="26"/>
  <c r="L66" i="26"/>
  <c r="K66" i="26"/>
  <c r="J65" i="26"/>
  <c r="L67" i="26"/>
  <c r="K69" i="26"/>
  <c r="L69" i="26"/>
  <c r="BD11" i="24"/>
  <c r="BD33" i="24"/>
  <c r="BE11" i="24"/>
  <c r="BE33" i="24"/>
  <c r="BC11" i="24"/>
  <c r="K42" i="26"/>
  <c r="J51" i="26"/>
  <c r="L62" i="26"/>
  <c r="L58" i="26"/>
  <c r="K52" i="26"/>
  <c r="K43" i="26"/>
  <c r="K47" i="26"/>
  <c r="J47" i="26"/>
  <c r="K62" i="26"/>
  <c r="L54" i="26"/>
  <c r="J56" i="26"/>
  <c r="J46" i="26"/>
  <c r="J60" i="26"/>
  <c r="J50" i="26"/>
  <c r="J53" i="26"/>
  <c r="J58" i="26"/>
  <c r="J71" i="26"/>
  <c r="K60" i="26"/>
  <c r="J62" i="26"/>
  <c r="J75" i="26"/>
  <c r="L52" i="26"/>
  <c r="J70" i="26"/>
  <c r="K54" i="26"/>
  <c r="K71" i="26"/>
  <c r="K56" i="26"/>
  <c r="J54" i="26"/>
  <c r="H45" i="26"/>
  <c r="K53" i="26"/>
  <c r="I41" i="26"/>
  <c r="K51" i="26"/>
  <c r="J57" i="26"/>
  <c r="K57" i="26"/>
  <c r="I45" i="26"/>
  <c r="K61" i="26"/>
  <c r="K33" i="26"/>
  <c r="K35" i="26"/>
  <c r="I46" i="26"/>
  <c r="J63" i="26"/>
  <c r="H49" i="26"/>
  <c r="L53" i="26"/>
  <c r="G13" i="26"/>
  <c r="K37" i="26"/>
  <c r="K39" i="26"/>
  <c r="I50" i="26"/>
  <c r="L43" i="26"/>
  <c r="L47" i="26"/>
  <c r="H41" i="26"/>
  <c r="J61" i="26"/>
  <c r="L57" i="26"/>
  <c r="J52" i="26"/>
  <c r="J42" i="26"/>
  <c r="K46" i="26"/>
  <c r="L50" i="26"/>
  <c r="K41" i="26"/>
  <c r="J44" i="26"/>
  <c r="G21" i="26"/>
  <c r="H80" i="26"/>
  <c r="H84" i="26"/>
  <c r="H81" i="26"/>
  <c r="H79" i="26"/>
  <c r="H85" i="26"/>
  <c r="H83" i="26"/>
  <c r="H82" i="26"/>
  <c r="H78" i="26"/>
  <c r="H43" i="26"/>
  <c r="K49" i="26"/>
  <c r="K44" i="26"/>
  <c r="L61" i="26"/>
  <c r="L56" i="26"/>
  <c r="L41" i="26"/>
  <c r="K48" i="26"/>
  <c r="J59" i="26"/>
  <c r="I43" i="26"/>
  <c r="L44" i="26"/>
  <c r="K55" i="26"/>
  <c r="H30" i="26"/>
  <c r="K32" i="26"/>
  <c r="I47" i="26"/>
  <c r="L72" i="26"/>
  <c r="K36" i="26"/>
  <c r="G28" i="26"/>
  <c r="H96" i="26"/>
  <c r="H94" i="26"/>
  <c r="H95" i="26"/>
  <c r="H98" i="26"/>
  <c r="H97" i="26"/>
  <c r="H38" i="26"/>
  <c r="J31" i="26"/>
  <c r="H46" i="26"/>
  <c r="G8" i="26"/>
  <c r="G46" i="26" s="1"/>
  <c r="L59" i="26"/>
  <c r="J35" i="26"/>
  <c r="H50"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30" i="26"/>
  <c r="L32" i="26"/>
  <c r="J43"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L93" i="26"/>
  <c r="L92" i="26"/>
  <c r="L91" i="26"/>
  <c r="L89" i="26"/>
  <c r="L87" i="26"/>
  <c r="L86" i="26"/>
  <c r="L90" i="26"/>
  <c r="L88" i="26"/>
  <c r="L63" i="26"/>
  <c r="J77" i="26"/>
  <c r="K77" i="26"/>
  <c r="J76" i="26"/>
  <c r="K76" i="26"/>
  <c r="L76" i="26"/>
  <c r="H77" i="26"/>
  <c r="I77" i="26"/>
  <c r="L77" i="26"/>
  <c r="G20" i="26"/>
  <c r="H76" i="26"/>
  <c r="I76" i="26"/>
  <c r="K70" i="26"/>
  <c r="K74" i="26"/>
  <c r="L70" i="26"/>
  <c r="J80" i="26"/>
  <c r="J78" i="26"/>
  <c r="J85" i="26"/>
  <c r="J79" i="26"/>
  <c r="J81" i="26"/>
  <c r="J82" i="26"/>
  <c r="J83" i="26"/>
  <c r="J84" i="26"/>
  <c r="L74" i="26"/>
  <c r="J86" i="26"/>
  <c r="J87" i="26"/>
  <c r="J88" i="26"/>
  <c r="J92" i="26"/>
  <c r="J93" i="26"/>
  <c r="J89" i="26"/>
  <c r="J90" i="26"/>
  <c r="J91" i="26"/>
  <c r="J72" i="26"/>
  <c r="K85" i="26"/>
  <c r="K81" i="26"/>
  <c r="K78" i="26"/>
  <c r="K84" i="26"/>
  <c r="K83" i="26"/>
  <c r="K82" i="26"/>
  <c r="K80" i="26"/>
  <c r="K79" i="26"/>
  <c r="G19"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G58" i="26" l="1"/>
  <c r="G53" i="26"/>
  <c r="G62" i="26"/>
  <c r="G57" i="26"/>
  <c r="G52" i="26"/>
  <c r="G61" i="26"/>
  <c r="G56" i="26"/>
  <c r="G60" i="26"/>
  <c r="G59" i="26"/>
  <c r="G54" i="26"/>
  <c r="G55" i="26"/>
  <c r="AL86" i="24"/>
  <c r="AL61" i="24"/>
  <c r="AM61" i="24" s="1"/>
  <c r="AN66" i="20"/>
  <c r="AO66" i="20" s="1"/>
  <c r="G43" i="26"/>
  <c r="G51" i="26"/>
  <c r="G50" i="26"/>
  <c r="G47" i="26"/>
  <c r="G49" i="26"/>
  <c r="G48" i="26"/>
  <c r="G42" i="26"/>
  <c r="G45" i="26"/>
  <c r="G89" i="26"/>
  <c r="G93" i="26"/>
  <c r="G90" i="26"/>
  <c r="G86" i="26"/>
  <c r="G87" i="26"/>
  <c r="G88" i="26"/>
  <c r="G92" i="26"/>
  <c r="G91" i="26"/>
  <c r="G41" i="26"/>
  <c r="G94" i="26"/>
  <c r="G97" i="26"/>
  <c r="G98" i="26"/>
  <c r="G96" i="26"/>
  <c r="G95" i="26"/>
  <c r="G79" i="26"/>
  <c r="G80" i="26"/>
  <c r="G85" i="26"/>
  <c r="G83" i="26"/>
  <c r="G82" i="26"/>
  <c r="G84" i="26"/>
  <c r="G81" i="26"/>
  <c r="G78" i="26"/>
  <c r="G4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P43" i="20"/>
  <c r="AO35" i="20"/>
  <c r="AL35" i="20"/>
  <c r="K39" i="20"/>
  <c r="AF121" i="20"/>
  <c r="AG121" i="20" s="1"/>
  <c r="AQ44" i="20" s="1"/>
  <c r="AI113" i="20"/>
  <c r="AN34" i="20"/>
  <c r="M39" i="20" s="1"/>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S37" i="20"/>
  <c r="AI110" i="20"/>
  <c r="AF110" i="20"/>
  <c r="AG110" i="20" s="1"/>
  <c r="AF105" i="20"/>
  <c r="AG105" i="20" s="1"/>
  <c r="AF113" i="20"/>
  <c r="AG113" i="20" s="1"/>
  <c r="AI112" i="20"/>
  <c r="AI85" i="20"/>
  <c r="AF85" i="20"/>
  <c r="AG85" i="20" s="1"/>
  <c r="AP44" i="20"/>
  <c r="AF114" i="20"/>
  <c r="AG114" i="20" s="1"/>
  <c r="AI114" i="20"/>
  <c r="AF93" i="20"/>
  <c r="AG93" i="20" s="1"/>
  <c r="AI93" i="20"/>
  <c r="AI124" i="20"/>
  <c r="AF124" i="20"/>
  <c r="AP47" i="20" s="1"/>
  <c r="AR47" i="20"/>
  <c r="AI88" i="20"/>
  <c r="AG88" i="20"/>
  <c r="AF108" i="20"/>
  <c r="AG108" i="20" s="1"/>
  <c r="AI108" i="20"/>
  <c r="AS40" i="20"/>
  <c r="AR34" i="20"/>
  <c r="AF80" i="20"/>
  <c r="AG80" i="20" s="1"/>
  <c r="AF116" i="20"/>
  <c r="AG116" i="20" s="1"/>
  <c r="AI116" i="20"/>
  <c r="AI89" i="20"/>
  <c r="AF84" i="20"/>
  <c r="AG84" i="20" s="1"/>
  <c r="AI84" i="20"/>
  <c r="AR35" i="20"/>
  <c r="AF81" i="20"/>
  <c r="AG81" i="20" s="1"/>
  <c r="AI81" i="20"/>
  <c r="AF91" i="20"/>
  <c r="AG91" i="20" s="1"/>
  <c r="AI91" i="20"/>
  <c r="AR45" i="20"/>
  <c r="AI122" i="20"/>
  <c r="AF122" i="20"/>
  <c r="AP45" i="20" s="1"/>
  <c r="AO34" i="20"/>
  <c r="N39" i="20" s="1"/>
  <c r="AR46" i="20"/>
  <c r="AF123" i="20"/>
  <c r="AP46" i="20" s="1"/>
  <c r="AI123"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S39" i="20"/>
  <c r="AG123" i="20"/>
  <c r="AQ46" i="20" s="1"/>
  <c r="AG119" i="20"/>
  <c r="AQ42" i="20" s="1"/>
  <c r="AG124" i="20"/>
  <c r="AQ47" i="20" s="1"/>
  <c r="AS36"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AY15" i="16" a="1"/>
  <c r="AY15" i="16" s="1"/>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F76" i="20"/>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O41" i="20"/>
  <c r="AG75" i="20"/>
  <c r="P42" i="20" s="1"/>
  <c r="O42" i="20"/>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P43" i="20"/>
  <c r="P41" i="20"/>
  <c r="AQ35" i="20"/>
  <c r="P40" i="20" s="1"/>
  <c r="M24" i="20"/>
  <c r="P45" i="20"/>
  <c r="P44" i="20"/>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<sst xmlns="http://schemas.openxmlformats.org/spreadsheetml/2006/main" count="27636" uniqueCount="4906">
  <si>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</si>
  <si>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</si>
  <si>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</si>
  <si>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</si>
  <si>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</si>
  <si>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</si>
  <si>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</si>
  <si>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</si>
  <si>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</si>
  <si>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</si>
  <si>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</si>
  <si>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</si>
  <si>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</si>
  <si>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</si>
  <si>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</si>
  <si>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</si>
  <si>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</si>
  <si>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</si>
  <si>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</si>
  <si>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</si>
  <si>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</si>
  <si>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</si>
  <si>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</si>
  <si>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</si>
  <si>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</si>
  <si>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</si>
  <si>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</si>
  <si>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</si>
  <si>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</si>
  <si>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</si>
  <si>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</si>
  <si>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</si>
  <si>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</si>
  <si>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</si>
  <si>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</si>
  <si>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</si>
  <si>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</si>
  <si>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</si>
  <si>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</si>
  <si>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</si>
  <si>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</si>
  <si>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</si>
  <si>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</si>
  <si>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</si>
  <si>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</si>
  <si>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</si>
  <si>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</si>
  <si>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</si>
  <si>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</si>
  <si>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</si>
  <si>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</si>
  <si>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</si>
  <si>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</si>
  <si>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</si>
  <si>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</si>
  <si>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</si>
  <si>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</si>
  <si>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</si>
  <si>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</si>
  <si>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</si>
  <si>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</si>
  <si>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</si>
  <si>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</si>
  <si>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</si>
  <si>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</si>
  <si>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</si>
  <si>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</si>
  <si>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</si>
  <si>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</si>
  <si>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</si>
  <si>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</si>
  <si>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</si>
  <si>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</si>
  <si>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</si>
  <si>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</si>
  <si>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</si>
  <si>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</si>
  <si>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</si>
  <si>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</si>
  <si>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</si>
  <si>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</si>
  <si>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</si>
  <si>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</si>
  <si>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</si>
  <si>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</si>
  <si>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</si>
  <si>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</si>
  <si>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</si>
  <si>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</si>
  <si>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</si>
  <si>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</si>
  <si>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</si>
  <si>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</si>
  <si>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</si>
  <si>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</si>
  <si>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</si>
  <si>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</si>
  <si>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</si>
  <si>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</si>
  <si>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</si>
  <si>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</si>
  <si>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</si>
  <si>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</si>
  <si>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</si>
  <si>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</si>
  <si>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</si>
  <si>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</si>
  <si>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</si>
  <si>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</si>
  <si>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</si>
  <si>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</si>
  <si>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</si>
  <si>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</si>
  <si>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</si>
  <si>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</si>
  <si>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</si>
  <si>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</si>
  <si>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</si>
  <si>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</si>
  <si>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</si>
  <si>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</si>
  <si>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</si>
  <si>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</si>
  <si>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</si>
  <si>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</si>
  <si>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</si>
  <si>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</si>
  <si>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</si>
  <si>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</si>
  <si>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</si>
  <si>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</si>
  <si>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</si>
  <si>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</si>
  <si>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</si>
  <si>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</si>
  <si>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</si>
  <si>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</si>
  <si>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</si>
  <si>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</si>
  <si>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</si>
  <si>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</si>
  <si>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</si>
  <si>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</si>
  <si>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</si>
  <si>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</si>
  <si>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</si>
  <si>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</si>
  <si>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</si>
  <si>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</si>
  <si>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</si>
  <si>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</si>
  <si>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</si>
  <si>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</si>
  <si>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</si>
  <si>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</si>
  <si>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</si>
  <si>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</si>
  <si>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</si>
  <si>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</si>
  <si>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</si>
  <si>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</si>
  <si>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</si>
  <si>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</si>
  <si>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</si>
  <si>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</si>
  <si>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</si>
  <si>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</si>
  <si>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</si>
  <si>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</si>
  <si>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</si>
  <si>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</si>
  <si>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</si>
  <si>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</si>
  <si>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</si>
  <si>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</si>
  <si>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</si>
  <si>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</si>
  <si>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</si>
  <si>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</si>
  <si>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</si>
  <si>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</si>
  <si>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</si>
  <si>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</si>
  <si>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</si>
  <si>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</si>
  <si>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</si>
  <si>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</si>
  <si>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</si>
  <si>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</si>
  <si>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</si>
  <si>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</si>
  <si>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</si>
  <si>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</si>
  <si>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</si>
  <si>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</si>
  <si>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</si>
  <si>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</si>
  <si>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</si>
  <si>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</si>
  <si>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</si>
  <si>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</si>
  <si>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</si>
  <si>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</si>
  <si>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</si>
  <si>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</si>
  <si>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</si>
  <si>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</si>
  <si>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</si>
  <si>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</si>
  <si>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</si>
  <si>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</si>
  <si>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</si>
  <si>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</si>
  <si>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</si>
  <si>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</si>
  <si>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</si>
  <si>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</si>
  <si>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</si>
  <si>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</si>
  <si>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</si>
  <si>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</si>
  <si>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</si>
  <si>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</si>
  <si>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</si>
  <si>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</si>
  <si>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</si>
  <si>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</si>
  <si>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</si>
  <si>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</si>
  <si>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</si>
  <si>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</si>
  <si>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</si>
  <si>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</si>
  <si>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</si>
  <si>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</si>
  <si>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</si>
  <si>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</si>
  <si>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</si>
  <si>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</si>
  <si>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</si>
  <si>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</si>
  <si>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</si>
  <si>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</si>
  <si>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</si>
  <si>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</si>
  <si>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</si>
  <si>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</si>
  <si>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</si>
  <si>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</si>
  <si>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</si>
  <si>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</si>
  <si>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</si>
  <si>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</si>
  <si>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</si>
  <si>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</si>
  <si>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</si>
  <si>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</si>
  <si>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</si>
  <si>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</si>
  <si>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</si>
  <si>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</si>
  <si>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</si>
  <si>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</si>
  <si>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</si>
  <si>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</si>
  <si>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</si>
  <si>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</si>
  <si>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</si>
  <si>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</si>
  <si>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</si>
  <si>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</si>
  <si>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</si>
  <si>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</si>
  <si>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</si>
  <si>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</si>
  <si>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</si>
  <si>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</si>
  <si>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</si>
  <si>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</si>
  <si>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</si>
  <si>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</si>
  <si>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</si>
  <si>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</si>
  <si>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</si>
  <si>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</si>
  <si>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</si>
  <si>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</si>
  <si>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</si>
  <si>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</si>
  <si>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</si>
  <si>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</si>
  <si>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</si>
  <si>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</si>
  <si>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</si>
  <si>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</si>
  <si>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</si>
  <si>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</si>
  <si>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</si>
  <si>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</si>
  <si>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</si>
  <si>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</si>
  <si>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</si>
  <si>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</si>
  <si>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</si>
  <si>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</si>
  <si>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</si>
  <si>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</si>
  <si>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</si>
  <si>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</si>
  <si>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</si>
  <si>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</si>
  <si>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</si>
  <si>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</si>
  <si>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</si>
  <si>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</si>
  <si>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</si>
  <si>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</si>
  <si>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</si>
  <si>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</si>
  <si>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</si>
  <si>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</si>
  <si>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</si>
  <si>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</si>
  <si>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</si>
  <si>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</si>
  <si>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</si>
  <si>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</si>
  <si>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</si>
  <si>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</si>
  <si>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</si>
  <si>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</si>
  <si>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</si>
  <si>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</si>
  <si>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</si>
  <si>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</si>
  <si>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</si>
  <si>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</si>
  <si>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</si>
  <si>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</si>
  <si>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</si>
  <si>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</si>
  <si>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</si>
  <si>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</si>
  <si>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</si>
  <si>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</si>
  <si>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</si>
  <si>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</si>
  <si>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</si>
  <si>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</si>
  <si>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</si>
  <si>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</si>
  <si>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</si>
  <si>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</si>
  <si>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</si>
  <si>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</si>
  <si>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</si>
  <si>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</si>
  <si>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</si>
  <si>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</si>
  <si>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</si>
  <si>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</si>
  <si>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</si>
  <si>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</si>
  <si>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</si>
  <si>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</si>
  <si>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</si>
  <si>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</si>
  <si>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</si>
  <si>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</si>
  <si>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</si>
  <si>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</si>
  <si>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</si>
  <si>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</si>
  <si>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</si>
  <si>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</si>
  <si>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</si>
  <si>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</si>
  <si>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</si>
  <si>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</si>
  <si>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</si>
  <si>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</si>
  <si>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</si>
  <si>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</si>
  <si>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</si>
  <si>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</si>
  <si>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</si>
  <si>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</si>
  <si>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</si>
  <si>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</si>
  <si>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</si>
  <si>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</si>
  <si>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</si>
  <si>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</si>
  <si>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</si>
  <si>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</si>
  <si>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</si>
  <si>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</si>
  <si>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</si>
  <si>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</si>
  <si>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</si>
  <si>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</si>
  <si>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</si>
  <si>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</si>
  <si>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</si>
  <si>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</si>
  <si>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</si>
  <si>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</si>
  <si>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</si>
  <si>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</si>
  <si>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</si>
  <si>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</si>
  <si>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</si>
  <si>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</si>
  <si>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</si>
  <si>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</si>
  <si>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</si>
  <si>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</si>
  <si>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</si>
  <si>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</si>
  <si>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</si>
  <si>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</si>
  <si>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</si>
  <si>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</si>
  <si>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</si>
  <si>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</si>
  <si>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</si>
  <si>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</si>
  <si>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</si>
  <si>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</si>
  <si>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</si>
  <si>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</si>
  <si>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</si>
  <si>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</si>
  <si>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</si>
  <si>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</si>
  <si>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</si>
  <si>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</si>
  <si>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</si>
  <si>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</si>
  <si>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</si>
  <si>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</si>
  <si>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</si>
  <si>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</si>
  <si>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</si>
  <si>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</si>
  <si>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</si>
  <si>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</si>
  <si>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</si>
  <si>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</si>
  <si>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</si>
  <si>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</si>
  <si>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</si>
  <si>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</si>
  <si>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</si>
  <si>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</si>
  <si>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</si>
  <si>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</si>
  <si>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</si>
  <si>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</si>
  <si>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</si>
  <si>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</si>
  <si>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</si>
  <si>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</si>
  <si>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</si>
  <si>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</si>
  <si>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</si>
  <si>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</si>
  <si>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</si>
  <si>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</si>
  <si>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</si>
  <si>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</si>
  <si>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</si>
  <si>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</si>
  <si>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</si>
  <si>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</si>
  <si>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</si>
  <si>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</si>
  <si>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</si>
  <si>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</si>
  <si>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</si>
  <si>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</si>
  <si>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</si>
  <si>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</si>
  <si>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</si>
  <si>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</si>
  <si>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</si>
  <si>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</si>
  <si>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</si>
  <si>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</si>
  <si>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</si>
  <si>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</si>
  <si>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</si>
  <si>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</si>
  <si>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</si>
  <si>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</si>
  <si>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</si>
  <si>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</si>
  <si>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</si>
  <si>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</si>
  <si>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</si>
  <si>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</si>
  <si>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</si>
  <si>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</si>
  <si>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</si>
  <si>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</si>
  <si>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</si>
  <si>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</si>
  <si>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</si>
  <si>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</si>
  <si>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</si>
  <si>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</si>
  <si>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</si>
  <si>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</si>
  <si>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</si>
  <si>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</si>
  <si>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</si>
  <si>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</si>
  <si>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</si>
  <si>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</si>
  <si>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</si>
  <si>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</si>
  <si>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</si>
  <si>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</si>
  <si>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</si>
  <si>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</si>
  <si>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</si>
  <si>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</si>
  <si>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</si>
  <si>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</si>
  <si>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</si>
  <si>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</si>
  <si>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</si>
  <si>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</si>
  <si>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</si>
  <si>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</si>
  <si>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</si>
  <si>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</si>
  <si>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</si>
  <si>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</si>
  <si>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</si>
  <si>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</si>
  <si>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</si>
  <si>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</si>
  <si>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</si>
  <si>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</si>
  <si>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</si>
  <si>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</si>
  <si>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</si>
  <si>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</si>
  <si>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</si>
  <si>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</si>
  <si>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</si>
  <si>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</si>
  <si>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</si>
  <si>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</si>
  <si>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</si>
  <si>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</si>
  <si>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</si>
  <si>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</si>
  <si>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</si>
  <si>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</si>
  <si>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</si>
  <si>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</si>
  <si>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</si>
  <si>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</si>
  <si>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</si>
  <si>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</si>
  <si>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</si>
  <si>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</si>
  <si>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</si>
  <si>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</si>
  <si>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</si>
  <si>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</si>
  <si>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</si>
  <si>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</si>
  <si>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</si>
  <si>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</si>
  <si>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</si>
  <si>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</si>
  <si>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</si>
  <si>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</si>
  <si>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</si>
  <si>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</si>
  <si>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</si>
  <si>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</si>
  <si>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</si>
  <si>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</si>
  <si>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</si>
  <si>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</si>
  <si>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</si>
  <si>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</si>
  <si>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</si>
  <si>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</si>
  <si>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</si>
  <si>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</si>
  <si>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</si>
  <si>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</si>
  <si>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</si>
  <si>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</si>
  <si>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</si>
  <si>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</si>
  <si>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</si>
  <si>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</si>
  <si>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</si>
  <si>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</si>
  <si>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</si>
  <si>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</si>
  <si>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</si>
  <si>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</si>
  <si>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</si>
  <si>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</si>
  <si>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</si>
  <si>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</si>
  <si>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</si>
  <si>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</si>
  <si>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</si>
  <si>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</si>
  <si>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</si>
  <si>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</si>
  <si>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</si>
  <si>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</si>
  <si>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</si>
  <si>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</si>
  <si>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</si>
  <si>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</si>
  <si>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</si>
  <si>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</si>
  <si>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</si>
  <si>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</si>
  <si>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</si>
  <si>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</si>
  <si>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</si>
  <si>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</si>
  <si>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</si>
  <si>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</si>
  <si>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</si>
  <si>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</si>
  <si>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</si>
  <si>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</si>
  <si>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</si>
  <si>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</si>
  <si>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</si>
  <si>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</si>
  <si>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</si>
  <si>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</si>
  <si>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</si>
  <si>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</si>
  <si>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</si>
  <si>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</si>
  <si>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</si>
  <si>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</si>
  <si>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</si>
  <si>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</si>
  <si>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</si>
  <si>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</si>
  <si>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</si>
  <si>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</si>
  <si>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</si>
  <si>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</si>
  <si>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</si>
  <si>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</si>
  <si>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</si>
  <si>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</si>
  <si>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</si>
  <si>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</si>
  <si>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</si>
  <si>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</si>
  <si>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</si>
  <si>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</si>
  <si>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</si>
  <si>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</si>
  <si>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</si>
  <si>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</si>
  <si>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</si>
  <si>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</si>
  <si>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</si>
  <si>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</si>
  <si>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</si>
  <si>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</si>
  <si>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</si>
  <si>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</si>
  <si>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</si>
  <si>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</si>
  <si>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</si>
  <si>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</si>
  <si>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</si>
  <si>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</si>
  <si>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</si>
  <si>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</si>
  <si>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</si>
  <si>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</si>
  <si>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</si>
  <si>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</si>
  <si>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</si>
  <si>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</si>
  <si>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</si>
  <si>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</si>
  <si>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</si>
  <si>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</si>
  <si>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</si>
  <si>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</si>
  <si>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</si>
  <si>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</si>
  <si>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</si>
  <si>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</si>
  <si>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</si>
  <si>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</si>
  <si>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</si>
  <si>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</si>
  <si>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</si>
  <si>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</si>
  <si>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</si>
  <si>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</si>
  <si>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</si>
  <si>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</si>
  <si>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</si>
  <si>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</si>
  <si>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</si>
  <si>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</si>
  <si>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</si>
  <si>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</si>
  <si>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</si>
  <si>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</si>
  <si>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</si>
  <si>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</si>
  <si>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</si>
  <si>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</si>
  <si>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</si>
  <si>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</si>
  <si>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</si>
  <si>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</si>
  <si>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</si>
  <si>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</si>
  <si>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</si>
  <si>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</si>
  <si>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</si>
  <si>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</si>
  <si>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</si>
  <si>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</si>
  <si>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</si>
  <si>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</si>
  <si>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</si>
  <si>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</si>
  <si>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</si>
  <si>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</si>
  <si>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</si>
  <si>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</si>
  <si>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</si>
  <si>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</si>
  <si>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</si>
  <si>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</si>
  <si>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</si>
  <si>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</si>
  <si>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</si>
  <si>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</si>
  <si>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</si>
  <si>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</si>
  <si>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</si>
  <si>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</si>
  <si>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</si>
  <si>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</si>
  <si>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</si>
  <si>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</si>
  <si>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</si>
  <si>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</si>
  <si>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</si>
  <si>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</si>
  <si>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</si>
  <si>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</si>
  <si>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</si>
  <si>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</si>
  <si>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</si>
  <si>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</si>
  <si>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</si>
  <si>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</si>
  <si>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</si>
  <si>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</si>
  <si>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</si>
  <si>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</si>
  <si>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</si>
  <si>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</si>
  <si>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</si>
  <si>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</si>
  <si>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</si>
  <si>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</si>
  <si>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</si>
  <si>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</si>
  <si>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</si>
  <si>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</si>
  <si>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</si>
  <si>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</si>
  <si>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</si>
  <si>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</si>
  <si>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</si>
  <si>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</si>
  <si>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</si>
  <si>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</si>
  <si>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</si>
  <si>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</si>
  <si>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</si>
  <si>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</si>
  <si>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</si>
  <si>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</si>
  <si>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</si>
  <si>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</si>
  <si>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</si>
  <si>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</si>
  <si>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</si>
  <si>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</si>
  <si>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</si>
  <si>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</si>
  <si>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</si>
  <si>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</si>
  <si>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</si>
  <si>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</si>
  <si>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</si>
  <si>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</si>
  <si>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</si>
  <si>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</si>
  <si>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</si>
  <si>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</si>
  <si>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</si>
  <si>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</si>
  <si>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</si>
  <si>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</si>
  <si>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</si>
  <si>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</si>
  <si>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</si>
  <si>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</si>
  <si>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</si>
  <si>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</si>
  <si>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</si>
  <si>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</si>
  <si>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</si>
  <si>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</si>
  <si>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</si>
  <si>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</si>
  <si>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</si>
  <si>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</si>
  <si>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</si>
  <si>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</si>
  <si>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</si>
  <si>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</si>
  <si>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</si>
  <si>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</si>
  <si>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</si>
  <si>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</si>
  <si>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</si>
  <si>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</si>
  <si>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</si>
  <si>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</si>
  <si>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</si>
  <si>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</si>
  <si>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</si>
  <si>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</si>
  <si>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</si>
  <si>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</si>
  <si>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</si>
  <si>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</si>
  <si>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</si>
  <si>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</si>
  <si>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</si>
  <si>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</si>
  <si>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</si>
  <si>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</si>
  <si>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</si>
  <si>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</si>
  <si>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</si>
  <si>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</si>
  <si>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</si>
  <si>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</si>
  <si>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</si>
  <si>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</si>
  <si>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</si>
  <si>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</si>
  <si>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</si>
  <si>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</si>
  <si>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</si>
  <si>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</si>
  <si>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</si>
  <si>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</si>
  <si>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</si>
  <si>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</si>
  <si>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</si>
  <si>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</si>
  <si>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</si>
  <si>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</si>
  <si>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</si>
  <si>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</si>
  <si>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</si>
  <si>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</si>
  <si>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</si>
  <si>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</si>
  <si>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</si>
  <si>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</si>
  <si>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</si>
  <si>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</si>
  <si>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</si>
  <si>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</si>
  <si>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</si>
  <si>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</si>
  <si>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</si>
  <si>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</si>
  <si>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</si>
  <si>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</si>
  <si>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</si>
  <si>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</si>
  <si>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</si>
  <si>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</si>
  <si>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</si>
  <si>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</si>
  <si>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</si>
  <si>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</si>
  <si>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</si>
  <si>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</si>
  <si>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</si>
  <si>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</si>
  <si>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</si>
  <si>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</si>
  <si>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</si>
  <si>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</si>
  <si>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</si>
  <si>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</si>
  <si>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</si>
  <si>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</si>
  <si>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</si>
  <si>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</si>
  <si>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</si>
  <si>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</si>
  <si>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</si>
  <si>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</si>
  <si>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</si>
  <si>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</si>
  <si>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</si>
  <si>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</si>
  <si>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</si>
  <si>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</si>
  <si>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</si>
  <si>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</si>
  <si>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</si>
  <si>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</si>
  <si>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</si>
  <si>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</si>
  <si>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</si>
  <si>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</si>
  <si>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</si>
  <si>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</si>
  <si>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</si>
  <si>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</si>
  <si>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</si>
  <si>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</si>
  <si>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</si>
  <si>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</si>
  <si>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</si>
  <si>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</si>
  <si>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</si>
  <si>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</si>
  <si>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</si>
  <si>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</si>
  <si>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</si>
  <si>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</si>
  <si>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</si>
  <si>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</si>
  <si>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</si>
  <si>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</si>
  <si>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</si>
  <si>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</si>
  <si>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</si>
  <si>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</si>
  <si>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</si>
  <si>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</si>
  <si>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</si>
  <si>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</si>
  <si>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</si>
  <si>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</si>
  <si>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</si>
  <si>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</si>
  <si>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</si>
  <si>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</si>
  <si>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</si>
  <si>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</si>
  <si>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</si>
  <si>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</si>
  <si>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</si>
  <si>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</si>
  <si>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</si>
  <si>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</si>
  <si>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</si>
  <si>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</si>
  <si>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</si>
  <si>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</si>
  <si>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</si>
  <si>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</si>
  <si>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</si>
  <si>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</si>
  <si>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</si>
  <si>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</si>
  <si>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</si>
  <si>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</si>
  <si>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</si>
  <si>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</si>
  <si>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</si>
  <si>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</si>
  <si>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</si>
  <si>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</si>
  <si>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</si>
  <si>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</si>
  <si>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</si>
  <si>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</si>
  <si>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</si>
  <si>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</si>
  <si>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</si>
  <si>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</si>
  <si>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</si>
  <si>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</si>
  <si>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</si>
  <si>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</si>
  <si>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</si>
  <si>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</si>
  <si>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</si>
  <si>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</si>
  <si>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</si>
  <si>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</si>
  <si>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</si>
  <si>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</si>
  <si>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</si>
  <si>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</si>
  <si>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</si>
  <si>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</si>
  <si>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</si>
  <si>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</si>
  <si>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</si>
  <si>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</si>
  <si>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</si>
  <si>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</si>
  <si>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</si>
  <si>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</si>
  <si>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</si>
  <si>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</si>
  <si>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</si>
  <si>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</si>
  <si>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</si>
  <si>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</si>
  <si>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</si>
  <si>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</si>
  <si>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</si>
  <si>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</si>
  <si>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</si>
  <si>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</si>
  <si>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</si>
  <si>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</si>
  <si>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</si>
  <si>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</si>
  <si>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</si>
  <si>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</si>
  <si>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</si>
  <si>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</si>
  <si>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</si>
  <si>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</si>
  <si>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</si>
  <si>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</si>
  <si>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</si>
  <si>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</si>
  <si>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</si>
  <si>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</si>
  <si>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</si>
  <si>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</si>
  <si>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</si>
  <si>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</si>
  <si>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</si>
  <si>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</si>
  <si>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</si>
  <si>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</si>
  <si>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</si>
  <si>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</si>
  <si>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</si>
  <si>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</si>
  <si>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</si>
  <si>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</si>
  <si>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</si>
  <si>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</si>
  <si>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</si>
  <si>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</si>
  <si>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</si>
  <si>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</si>
  <si>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</si>
  <si>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</si>
  <si>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</si>
  <si>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</si>
  <si>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</si>
  <si>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</si>
  <si>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</si>
  <si>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</si>
  <si>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</si>
  <si>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</si>
  <si>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</si>
  <si>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</si>
  <si>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</si>
  <si>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</si>
  <si>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</si>
  <si>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</si>
  <si>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</si>
  <si>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</si>
  <si>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</si>
  <si>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</si>
  <si>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</si>
  <si>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</si>
  <si>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</si>
  <si>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</si>
  <si>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</si>
  <si>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</si>
  <si>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</si>
  <si>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</si>
  <si>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</si>
  <si>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</si>
  <si>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</si>
  <si>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</si>
  <si>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</si>
  <si>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</si>
  <si>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</si>
  <si>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</si>
  <si>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</si>
  <si>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</si>
  <si>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</si>
  <si>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</si>
  <si>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</si>
  <si>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</si>
  <si>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</si>
  <si>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</si>
  <si>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</si>
  <si>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</si>
  <si>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</si>
  <si>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</si>
  <si>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</si>
  <si>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</si>
  <si>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</si>
  <si>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</si>
  <si>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</si>
  <si>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</si>
  <si>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</si>
  <si>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</si>
  <si>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</si>
  <si>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</si>
  <si>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</si>
  <si>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</si>
  <si>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</si>
  <si>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</si>
  <si>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</si>
  <si>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</si>
  <si>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</si>
  <si>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</si>
  <si>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</si>
  <si>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</si>
  <si>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</si>
  <si>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</si>
  <si>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</si>
  <si>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</si>
  <si>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</si>
  <si>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</si>
  <si>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</si>
  <si>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</si>
  <si>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</si>
  <si>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</si>
  <si>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</si>
  <si>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</si>
  <si>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</si>
  <si>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</si>
  <si>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</si>
  <si>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</si>
  <si>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</si>
  <si>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</si>
  <si>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</si>
  <si>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</si>
  <si>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</si>
  <si>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</si>
  <si>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</si>
  <si>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</si>
  <si>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</si>
  <si>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</si>
  <si>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</si>
  <si>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</si>
  <si>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</si>
  <si>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</si>
  <si>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</si>
  <si>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</si>
  <si>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</si>
  <si>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</si>
  <si>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</si>
  <si>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</si>
  <si>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</si>
  <si>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</si>
  <si>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</si>
  <si>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</si>
  <si>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</si>
  <si>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</si>
  <si>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</si>
  <si>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</si>
  <si>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</si>
  <si>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</si>
  <si>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</si>
  <si>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</si>
  <si>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</si>
  <si>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</si>
  <si>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</si>
  <si>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</si>
  <si>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</si>
  <si>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</si>
  <si>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</si>
  <si>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</si>
  <si>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</si>
  <si>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</si>
  <si>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</si>
  <si>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</si>
  <si>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</si>
  <si>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</si>
  <si>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</si>
  <si>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</si>
  <si>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</si>
  <si>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</si>
  <si>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</si>
  <si>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</si>
  <si>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</si>
  <si>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</si>
  <si>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</si>
  <si>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</si>
  <si>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</si>
  <si>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</si>
  <si>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</si>
  <si>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</si>
  <si>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</si>
  <si>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</si>
  <si>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</si>
  <si>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</si>
  <si>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</si>
  <si>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</si>
  <si>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</si>
  <si>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</si>
  <si>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</si>
  <si>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</si>
  <si>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</si>
  <si>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</si>
  <si>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</si>
  <si>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</si>
  <si>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</si>
  <si>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</si>
  <si>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</si>
  <si>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</si>
  <si>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</si>
  <si>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</si>
  <si>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</si>
  <si>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</si>
  <si>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</si>
  <si>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</si>
  <si>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</si>
  <si>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</si>
  <si>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</si>
  <si>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</si>
  <si>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</si>
  <si>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</si>
  <si>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</si>
  <si>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</si>
  <si>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</si>
  <si>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</si>
  <si>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</si>
  <si>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</si>
  <si>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</si>
  <si>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</si>
  <si>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</si>
  <si>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</si>
  <si>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</si>
  <si>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</si>
  <si>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</si>
  <si>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</si>
  <si>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</si>
  <si>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</si>
  <si>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</si>
  <si>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</si>
  <si>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</si>
  <si>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</si>
  <si>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</si>
  <si>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</si>
  <si>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</si>
  <si>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</si>
  <si>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</si>
  <si>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</si>
  <si>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</si>
  <si>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</si>
  <si>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</si>
  <si>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</si>
  <si>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</si>
  <si>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</si>
  <si>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</si>
  <si>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</si>
  <si>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</si>
  <si>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</si>
  <si>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</si>
  <si>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</si>
  <si>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</si>
  <si>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</si>
  <si>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</si>
  <si>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</si>
  <si>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</si>
  <si>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</si>
  <si>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</si>
  <si>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</si>
  <si>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</si>
  <si>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</si>
  <si>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</si>
  <si>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</si>
  <si>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</si>
  <si>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</si>
  <si>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</si>
  <si>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</si>
  <si>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</si>
  <si>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</si>
  <si>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</si>
  <si>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</si>
  <si>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</si>
  <si>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</si>
  <si>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</si>
  <si>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</si>
  <si>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</si>
  <si>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</si>
  <si>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</si>
  <si>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</si>
  <si>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</si>
  <si>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</si>
  <si>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</si>
  <si>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</si>
  <si>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</si>
  <si>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</si>
  <si>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</si>
  <si>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</si>
  <si>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</si>
  <si>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</si>
  <si>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</si>
  <si>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</si>
  <si>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</si>
  <si>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</si>
  <si>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</si>
  <si>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</si>
  <si>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</si>
  <si>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</si>
  <si>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</si>
  <si>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</si>
  <si>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</si>
  <si>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</si>
  <si>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</si>
  <si>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</si>
  <si>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</si>
  <si>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</si>
  <si>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</si>
  <si>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</si>
  <si>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</si>
  <si>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</si>
  <si>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</si>
  <si>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</si>
  <si>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</si>
  <si>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</si>
  <si>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</si>
  <si>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</si>
  <si>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</si>
  <si>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</si>
  <si>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</si>
  <si>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</si>
  <si>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</si>
  <si>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</si>
  <si>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</si>
  <si>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</si>
  <si>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</si>
  <si>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</si>
  <si>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</si>
  <si>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</si>
  <si>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</si>
  <si>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</si>
  <si>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</si>
  <si>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</si>
  <si>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</si>
  <si>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</si>
  <si>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</si>
  <si>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</si>
  <si>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</si>
  <si>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</si>
  <si>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</si>
  <si>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</si>
  <si>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</si>
  <si>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</si>
  <si>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</si>
  <si>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</si>
  <si>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</si>
  <si>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</si>
  <si>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</si>
  <si>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</si>
  <si>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</si>
  <si>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</si>
  <si>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</si>
  <si>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</si>
  <si>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</si>
  <si>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</si>
  <si>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</si>
  <si>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</si>
  <si>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</si>
  <si>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</si>
  <si>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</si>
  <si>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</si>
  <si>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</si>
  <si>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</si>
  <si>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</si>
  <si>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</si>
  <si>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</si>
  <si>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</si>
  <si>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</si>
  <si>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</si>
  <si>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</si>
  <si>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</si>
  <si>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</si>
  <si>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</si>
  <si>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</si>
  <si>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</si>
  <si>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</si>
  <si>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</si>
  <si>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</si>
  <si>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</si>
  <si>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</si>
  <si>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</si>
  <si>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</si>
  <si>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</si>
  <si>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</si>
  <si>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</si>
  <si>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</si>
  <si>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</si>
  <si>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</si>
  <si>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</si>
  <si>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</si>
  <si>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</si>
  <si>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</si>
  <si>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</si>
  <si>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</si>
  <si>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</si>
  <si>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</si>
  <si>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</si>
  <si>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</si>
  <si>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</si>
  <si>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</si>
  <si>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</si>
  <si>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</si>
  <si>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</si>
  <si>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</si>
  <si>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</si>
  <si>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</si>
  <si>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</si>
  <si>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</si>
  <si>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</si>
  <si>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</si>
  <si>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</si>
  <si>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</si>
  <si>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</si>
  <si>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</si>
  <si>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</si>
  <si>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</si>
  <si>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</si>
  <si>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</si>
  <si>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</si>
  <si>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</si>
  <si>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</si>
  <si>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</si>
  <si>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</si>
  <si>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</si>
  <si>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</si>
  <si>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</si>
  <si>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</si>
  <si>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</si>
  <si>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</si>
  <si>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</si>
  <si>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</si>
  <si>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</si>
  <si>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</si>
  <si>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</si>
  <si>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</si>
  <si>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</si>
  <si>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</si>
  <si>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</si>
  <si>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</si>
  <si>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</si>
  <si>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</si>
  <si>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</si>
  <si>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</si>
  <si>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</si>
  <si>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</si>
  <si>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</si>
  <si>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</si>
  <si>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</si>
  <si>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</si>
  <si>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</si>
  <si>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</si>
  <si>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</si>
  <si>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</si>
  <si>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</si>
  <si>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</si>
  <si>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</si>
  <si>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</si>
  <si>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</si>
  <si>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</si>
  <si>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</si>
  <si>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</si>
  <si>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</si>
  <si>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</si>
  <si>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</si>
  <si>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</si>
  <si>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</si>
  <si>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</si>
  <si>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</si>
  <si>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</si>
  <si>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</si>
  <si>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</si>
  <si>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</si>
  <si>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</si>
  <si>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</si>
  <si>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</si>
  <si>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</si>
  <si>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</si>
  <si>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</si>
  <si>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</si>
  <si>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</si>
  <si>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</si>
  <si>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</si>
  <si>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</si>
  <si>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</si>
  <si>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</si>
  <si>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</si>
  <si>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</si>
  <si>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</si>
  <si>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</si>
  <si>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</si>
  <si>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</si>
  <si>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</si>
  <si>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</si>
  <si>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</si>
  <si>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</si>
  <si>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</si>
  <si>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</si>
  <si>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</si>
  <si>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</si>
  <si>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</si>
  <si>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</si>
  <si>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</si>
  <si>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</si>
  <si>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</si>
  <si>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</si>
  <si>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</si>
  <si>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</si>
  <si>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</si>
  <si>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</si>
  <si>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</si>
  <si>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</si>
  <si>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</si>
  <si>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</si>
  <si>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</si>
  <si>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</si>
  <si>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</si>
  <si>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</si>
  <si>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</si>
  <si>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</si>
  <si>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</si>
  <si>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</si>
  <si>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</si>
  <si>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</si>
  <si>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</si>
  <si>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</si>
  <si>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</si>
  <si>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</si>
  <si>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</si>
  <si>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</si>
  <si>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</si>
  <si>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</si>
  <si>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</si>
  <si>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</si>
  <si>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</si>
  <si>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</si>
  <si>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</si>
  <si>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</si>
  <si>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</si>
  <si>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</si>
  <si>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</si>
  <si>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</si>
  <si>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</si>
  <si>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</si>
  <si>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</si>
  <si>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</si>
  <si>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</si>
  <si>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</si>
  <si>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</si>
  <si>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</si>
  <si>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</si>
  <si>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</si>
  <si>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</si>
  <si>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</si>
  <si>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</si>
  <si>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</si>
  <si>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</si>
  <si>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</si>
  <si>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</si>
  <si>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</si>
  <si>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</si>
  <si>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</si>
  <si>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</si>
  <si>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</si>
  <si>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</si>
  <si>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</si>
  <si>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</si>
  <si>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</si>
  <si>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</si>
  <si>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</si>
  <si>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</si>
  <si>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</si>
  <si>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</si>
  <si>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</si>
  <si>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</si>
  <si>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</si>
  <si>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</si>
  <si>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</si>
  <si>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</si>
  <si>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</si>
  <si>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</si>
  <si>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</si>
  <si>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</si>
  <si>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</si>
  <si>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</si>
  <si>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</si>
  <si>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</si>
  <si>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</si>
  <si>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</si>
  <si>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</si>
  <si>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</si>
  <si>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</si>
  <si>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</si>
  <si>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</si>
  <si>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</si>
  <si>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</si>
  <si>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</si>
  <si>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</si>
  <si>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</si>
  <si>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</si>
  <si>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</si>
  <si>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</si>
  <si>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</si>
  <si>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</si>
  <si>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</si>
  <si>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</si>
  <si>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</si>
  <si>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</si>
  <si>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</si>
  <si>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</si>
  <si>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</si>
  <si>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</si>
  <si>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</si>
  <si>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</si>
  <si>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</si>
  <si>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</si>
  <si>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</si>
  <si>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</si>
  <si>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</si>
  <si>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</si>
  <si>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</si>
  <si>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</si>
  <si>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</si>
  <si>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</si>
  <si>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</si>
  <si>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</si>
  <si>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</si>
  <si>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</si>
  <si>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</si>
  <si>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</si>
  <si>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</si>
  <si>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</si>
  <si>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</si>
  <si>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</si>
  <si>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</si>
  <si>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</si>
  <si>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</si>
  <si>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</si>
  <si>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</si>
  <si>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</si>
  <si>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</si>
  <si>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</si>
  <si>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</si>
  <si>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</si>
  <si>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</si>
  <si>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</si>
  <si>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</si>
  <si>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</si>
  <si>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</si>
  <si>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</si>
  <si>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</si>
  <si>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</si>
  <si>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</si>
  <si>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</si>
  <si>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</si>
  <si>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</si>
  <si>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</si>
  <si>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</si>
  <si>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</si>
  <si>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</si>
  <si>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</si>
  <si>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</si>
  <si>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</si>
  <si>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</si>
  <si>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</si>
  <si>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</si>
  <si>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</si>
  <si>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</si>
  <si>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</si>
  <si>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</si>
  <si>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</si>
  <si>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</si>
  <si>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</si>
  <si>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</si>
  <si>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</si>
  <si>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</si>
  <si>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</si>
  <si>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</si>
  <si>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</si>
  <si>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</si>
  <si>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</si>
  <si>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</si>
  <si>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</si>
  <si>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</si>
  <si>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</si>
  <si>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</si>
  <si>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</si>
  <si>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</si>
  <si>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</si>
  <si>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</si>
  <si>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</si>
  <si>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</si>
  <si>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</si>
  <si>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</si>
  <si>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</si>
  <si>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</si>
  <si>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</si>
  <si>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</si>
  <si>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</si>
  <si>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</si>
  <si>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</si>
  <si>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</si>
  <si>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</si>
  <si>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</si>
  <si>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</si>
  <si>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</si>
  <si>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</si>
  <si>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</si>
  <si>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</si>
  <si>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</si>
  <si>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</si>
  <si>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</si>
  <si>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</si>
  <si>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</si>
  <si>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</si>
  <si>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</si>
  <si>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</si>
  <si>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</si>
  <si>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</si>
  <si>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</si>
  <si>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</si>
  <si>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</si>
  <si>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</si>
  <si>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</si>
  <si>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</si>
  <si>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</si>
  <si>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</si>
  <si>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</si>
  <si>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</si>
  <si>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</si>
  <si>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</si>
  <si>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</si>
  <si>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</si>
  <si>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</si>
  <si>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</si>
  <si>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</si>
  <si>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</si>
  <si>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</si>
  <si>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</si>
  <si>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</si>
  <si>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</si>
  <si>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</si>
  <si>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</si>
  <si>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</si>
  <si>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</si>
  <si>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</si>
  <si>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</si>
  <si>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</si>
  <si>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</si>
  <si>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</si>
  <si>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</si>
  <si>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</si>
  <si>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</si>
  <si>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</si>
  <si>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</si>
  <si>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</si>
  <si>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</si>
  <si>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</si>
  <si>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</si>
  <si>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</si>
  <si>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</si>
  <si>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</si>
  <si>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</si>
  <si>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</si>
  <si>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</si>
  <si>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</si>
  <si>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</si>
  <si>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</si>
  <si>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</si>
  <si>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</si>
  <si>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</si>
  <si>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</si>
  <si>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</si>
  <si>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</si>
  <si>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</si>
  <si>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</si>
  <si>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</si>
  <si>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</si>
  <si>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</si>
  <si>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</si>
  <si>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</si>
  <si>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</si>
  <si>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</si>
  <si>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</si>
  <si>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</si>
  <si>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</si>
  <si>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</si>
  <si>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</si>
  <si>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</si>
  <si>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</si>
  <si>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</si>
  <si>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</si>
  <si>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</si>
  <si>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</si>
  <si>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</si>
  <si>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</si>
  <si>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</si>
  <si>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</si>
  <si>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</si>
  <si>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</si>
  <si>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</si>
  <si>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</si>
  <si>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</si>
  <si>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</si>
  <si>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</si>
  <si>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</si>
  <si>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</si>
  <si>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</si>
  <si>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</si>
  <si>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</si>
  <si>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</si>
  <si>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</si>
  <si>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</si>
  <si>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</si>
  <si>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</si>
  <si>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</si>
  <si>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</si>
  <si>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</si>
  <si>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</si>
  <si>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</si>
  <si>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</si>
  <si>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</si>
  <si>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</si>
  <si>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</si>
  <si>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</si>
  <si>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</si>
  <si>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</si>
  <si>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</si>
  <si>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</si>
  <si>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</si>
  <si>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</si>
  <si>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</si>
  <si>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</si>
  <si>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</si>
  <si>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</si>
  <si>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</si>
  <si>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</si>
  <si>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</si>
  <si>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</si>
  <si>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</si>
  <si>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</si>
  <si>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</si>
  <si>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</si>
  <si>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</si>
  <si>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</si>
  <si>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</si>
  <si>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</si>
  <si>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</si>
  <si>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</si>
  <si>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</si>
  <si>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</si>
  <si>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</si>
  <si>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</si>
  <si>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</si>
  <si>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</si>
  <si>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</si>
  <si>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</si>
  <si>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</si>
  <si>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</si>
  <si>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</si>
  <si>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</si>
  <si>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</si>
  <si>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</si>
  <si>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</si>
  <si>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</si>
  <si>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</si>
  <si>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</si>
  <si>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</si>
  <si>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</si>
  <si>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</si>
  <si>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</si>
  <si>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</si>
  <si>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</si>
  <si>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</si>
  <si>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</si>
  <si>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</si>
  <si>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</si>
  <si>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</si>
  <si>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</si>
  <si>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</si>
  <si>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</si>
  <si>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</si>
  <si>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</si>
  <si>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</si>
  <si>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</si>
  <si>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</si>
  <si>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</si>
  <si>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</si>
  <si>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</si>
  <si>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</si>
  <si>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</si>
  <si>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</si>
  <si>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</si>
  <si>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</si>
  <si>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</si>
  <si>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</si>
  <si>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</si>
  <si>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</si>
  <si>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</si>
  <si>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</si>
  <si>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</si>
  <si>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</si>
  <si>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</si>
  <si>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</si>
  <si>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</si>
  <si>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</si>
  <si>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</si>
  <si>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</si>
  <si>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</si>
  <si>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</si>
  <si>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</si>
  <si>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</si>
  <si>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</si>
  <si>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</si>
  <si>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</si>
  <si>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</si>
  <si>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</si>
  <si>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</si>
  <si>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</si>
  <si>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</si>
  <si>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</si>
  <si>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</si>
  <si>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</si>
  <si>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</si>
  <si>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</si>
  <si>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</si>
  <si>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</si>
  <si>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</si>
  <si>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</si>
  <si>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</si>
  <si>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</si>
  <si>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</si>
  <si>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</si>
  <si>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</si>
  <si>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</si>
  <si>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</si>
  <si>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</si>
  <si>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</si>
  <si>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</si>
  <si>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</si>
  <si>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</si>
  <si>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</si>
  <si>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</si>
  <si>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</si>
  <si>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</si>
  <si>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</si>
  <si>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</si>
  <si>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</si>
  <si>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</si>
  <si>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</si>
  <si>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</si>
  <si>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</si>
  <si>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</si>
  <si>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</si>
  <si>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</si>
  <si>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</si>
  <si>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</si>
  <si>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</si>
  <si>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</si>
  <si>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</si>
  <si>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</si>
  <si>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</si>
  <si>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</si>
  <si>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</si>
  <si>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</si>
  <si>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</si>
  <si>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</si>
  <si>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</si>
  <si>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</si>
  <si>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</si>
  <si>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</si>
  <si>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</si>
  <si>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</si>
  <si>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</si>
  <si>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</si>
  <si>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</si>
  <si>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</si>
  <si>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</si>
  <si>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</si>
  <si>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</si>
  <si>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</si>
  <si>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</si>
  <si>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</si>
  <si>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</si>
  <si>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</si>
  <si>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</si>
  <si>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</si>
  <si>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</si>
  <si>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</si>
  <si>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</si>
  <si>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</si>
  <si>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</si>
  <si>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</si>
  <si>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</si>
  <si>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</si>
  <si>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</si>
  <si>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</si>
  <si>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</si>
  <si>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</si>
  <si>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</si>
  <si>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</si>
  <si>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</si>
  <si>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</si>
  <si>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</si>
  <si>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</si>
  <si>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</si>
  <si>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</si>
  <si>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</si>
  <si>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</si>
  <si>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</si>
  <si>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</si>
  <si>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</si>
  <si>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</si>
  <si>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</si>
  <si>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</si>
  <si>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</si>
  <si>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</si>
  <si>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</si>
  <si>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</si>
  <si>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</si>
  <si>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</si>
  <si>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</si>
  <si>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</si>
  <si>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</si>
  <si>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</si>
  <si>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</si>
  <si>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</si>
  <si>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</si>
  <si>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</si>
  <si>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</si>
  <si>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</si>
  <si>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</si>
  <si>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</si>
  <si>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</si>
  <si>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</si>
  <si>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</si>
  <si>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</si>
  <si>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</si>
  <si>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</si>
  <si>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</si>
  <si>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</si>
  <si>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</si>
  <si>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</si>
  <si>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</si>
  <si>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</si>
  <si>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</si>
  <si>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</si>
  <si>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</si>
  <si>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</si>
  <si>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</si>
  <si>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</si>
  <si>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</si>
  <si>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</si>
  <si>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</si>
  <si>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</si>
  <si>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</si>
  <si>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</si>
  <si>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</si>
  <si>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</si>
  <si>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</si>
  <si>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</si>
  <si>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</si>
  <si>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</si>
  <si>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</si>
  <si>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</si>
  <si>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</si>
  <si>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</si>
  <si>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</si>
  <si>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</si>
  <si>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</si>
  <si>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</si>
  <si>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</si>
  <si>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</si>
  <si>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</si>
  <si>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</si>
  <si>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</si>
  <si>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</si>
  <si>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</si>
  <si>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</si>
  <si>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</si>
  <si>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</si>
  <si>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</si>
  <si>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</si>
  <si>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</si>
  <si>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</si>
  <si>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</si>
  <si>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</si>
  <si>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</si>
  <si>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</si>
  <si>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</si>
  <si>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</si>
  <si>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</si>
  <si>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</si>
  <si>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</si>
  <si>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</si>
  <si>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</si>
  <si>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</si>
  <si>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</si>
  <si>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</si>
  <si>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</si>
  <si>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</si>
  <si>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</si>
  <si>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</si>
  <si>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</si>
  <si>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</si>
  <si>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</si>
  <si>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</si>
  <si>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</si>
  <si>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</si>
  <si>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</si>
  <si>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</si>
  <si>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</si>
  <si>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</si>
  <si>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</si>
  <si>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</si>
  <si>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</si>
  <si>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</si>
  <si>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</si>
  <si>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</si>
  <si>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</si>
  <si>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</si>
  <si>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</si>
  <si>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</si>
  <si>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</si>
  <si>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</si>
  <si>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</si>
  <si>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</si>
  <si>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</si>
  <si>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</si>
  <si>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</si>
  <si>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</si>
  <si>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</si>
  <si>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</si>
  <si>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</si>
  <si>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</si>
  <si>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</si>
  <si>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</si>
  <si>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</si>
  <si>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</si>
  <si>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</si>
  <si>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</si>
  <si>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</si>
  <si>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</si>
  <si>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</si>
  <si>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</si>
  <si>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</si>
  <si>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</si>
  <si>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</si>
  <si>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</si>
  <si>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</si>
  <si>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</si>
  <si>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</si>
  <si>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</si>
  <si>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</si>
  <si>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</si>
  <si>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</si>
  <si>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</si>
  <si>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</si>
  <si>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</si>
  <si>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</si>
  <si>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</si>
  <si>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</si>
  <si>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</si>
  <si>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</si>
  <si>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</si>
  <si>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</si>
  <si>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</si>
  <si>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</si>
  <si>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</si>
  <si>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</si>
  <si>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</si>
  <si>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</si>
  <si>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</si>
  <si>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</si>
  <si>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</si>
  <si>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</si>
  <si>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</si>
  <si>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</si>
  <si>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</si>
  <si>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</si>
  <si>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</si>
  <si>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</si>
  <si>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</si>
  <si>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</si>
  <si>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</si>
  <si>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</si>
  <si>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</si>
  <si>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</si>
  <si>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</si>
  <si>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</si>
  <si>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</si>
  <si>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</si>
  <si>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</si>
  <si>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</si>
  <si>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</si>
  <si>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</si>
  <si>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</si>
  <si>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</si>
  <si>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</si>
  <si>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</si>
  <si>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</si>
  <si>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</si>
  <si>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</si>
  <si>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</si>
  <si>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</si>
  <si>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</si>
  <si>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</si>
  <si>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</si>
  <si>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</si>
  <si>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</si>
  <si>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</si>
  <si>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</si>
  <si>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</si>
  <si>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</si>
  <si>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</si>
  <si>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</si>
  <si>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</si>
  <si>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</si>
  <si>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</si>
  <si>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</si>
  <si>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</si>
  <si>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</si>
  <si>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</si>
  <si>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</si>
  <si>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</si>
  <si>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</si>
  <si>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</si>
  <si>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</si>
  <si>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</si>
  <si>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</si>
  <si>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</si>
  <si>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</si>
  <si>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</si>
  <si>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</si>
  <si>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</si>
  <si>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</si>
  <si>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</si>
  <si>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</si>
  <si>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</si>
  <si>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</si>
  <si>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</si>
  <si>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</si>
  <si>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</si>
  <si>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</si>
  <si>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</si>
  <si>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</si>
  <si>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</si>
  <si>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</si>
  <si>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</si>
  <si>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</si>
  <si>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</si>
  <si>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</si>
  <si>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</si>
  <si>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</si>
  <si>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</si>
  <si>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</si>
  <si>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</si>
  <si>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</si>
  <si>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</si>
  <si>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</si>
  <si>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</si>
  <si>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</si>
  <si>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</si>
  <si>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</si>
  <si>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</si>
  <si>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</si>
  <si>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</si>
  <si>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</si>
  <si>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</si>
  <si>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</si>
  <si>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</si>
  <si>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</si>
  <si>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</si>
  <si>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</si>
  <si>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</si>
  <si>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</si>
  <si>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</si>
  <si>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</si>
  <si>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</si>
  <si>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</si>
  <si>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</si>
  <si>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</si>
  <si>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</si>
  <si>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</si>
  <si>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</si>
  <si>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</si>
  <si>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</si>
  <si>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</si>
  <si>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</si>
  <si>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</si>
  <si>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</si>
  <si>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</si>
  <si>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</si>
  <si>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</si>
  <si>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</si>
  <si>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</si>
  <si>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</si>
  <si>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</si>
  <si>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</si>
  <si>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</si>
  <si>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</si>
  <si>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</si>
  <si>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</si>
  <si>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</si>
  <si>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</si>
  <si>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</si>
  <si>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</si>
  <si>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</si>
  <si>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</si>
  <si>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</si>
  <si>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</si>
  <si>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</si>
  <si>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</si>
  <si>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</si>
  <si>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</si>
  <si>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</si>
  <si>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</si>
  <si>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</si>
  <si>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</si>
  <si>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</si>
  <si>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</si>
  <si>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</si>
  <si>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</si>
  <si>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</si>
  <si>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</si>
  <si>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</si>
  <si>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</si>
  <si>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</si>
  <si>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</si>
  <si>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</si>
  <si>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</si>
  <si>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</si>
  <si>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</si>
  <si>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</si>
  <si>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</si>
  <si>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</si>
  <si>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</si>
  <si>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</si>
  <si>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</si>
  <si>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</si>
  <si>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</si>
  <si>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</si>
  <si>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</si>
  <si>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</si>
  <si>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</si>
  <si>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</si>
  <si>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</si>
  <si>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</si>
  <si>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</si>
  <si>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</si>
  <si>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</si>
  <si>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</si>
  <si>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</si>
  <si>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</si>
  <si>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</si>
  <si>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</si>
  <si>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</si>
  <si>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</si>
  <si>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</si>
  <si>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</si>
  <si>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</si>
  <si>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</si>
  <si>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</si>
  <si>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</si>
  <si>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</si>
  <si>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</si>
  <si>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</si>
  <si>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</si>
  <si>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</si>
  <si>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</si>
  <si>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</si>
  <si>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</si>
  <si>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</si>
  <si>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</si>
  <si>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</si>
  <si>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</si>
  <si>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</si>
  <si>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</si>
  <si>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</si>
  <si>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</si>
  <si>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</si>
  <si>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</si>
  <si>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</si>
  <si>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</si>
  <si>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</si>
  <si>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</si>
  <si>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</si>
  <si>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</si>
  <si>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</si>
  <si>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</si>
  <si>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</si>
  <si>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</si>
  <si>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</si>
  <si>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</si>
  <si>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</si>
  <si>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</si>
  <si>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</si>
  <si>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</si>
  <si>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</si>
  <si>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</si>
  <si>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</si>
  <si>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</si>
  <si>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</si>
  <si>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</si>
  <si>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</si>
  <si>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</si>
  <si>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</si>
  <si>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</si>
  <si>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</si>
  <si>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</si>
  <si>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</si>
  <si>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</si>
  <si>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</si>
  <si>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</si>
  <si>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</si>
  <si>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</si>
  <si>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</si>
  <si>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</si>
  <si>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</si>
  <si>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</si>
  <si>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</si>
  <si>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</si>
  <si>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</si>
  <si>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</si>
  <si>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</si>
  <si>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</si>
  <si>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</si>
  <si>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</si>
  <si>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</si>
  <si>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</si>
  <si>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</si>
  <si>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</si>
  <si>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</si>
  <si>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</si>
  <si>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</si>
  <si>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</si>
  <si>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</si>
  <si>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</si>
  <si>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</si>
  <si>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</si>
  <si>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</si>
  <si>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</si>
  <si>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</si>
  <si>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</si>
  <si>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</si>
  <si>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</si>
  <si>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</si>
  <si>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</si>
  <si>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</si>
  <si>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</si>
  <si>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</si>
  <si>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</si>
  <si>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</si>
  <si>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</si>
  <si>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</si>
  <si>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</si>
  <si>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</si>
  <si>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</si>
  <si>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</si>
  <si>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</si>
  <si>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</si>
  <si>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</si>
  <si>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</si>
  <si>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</si>
  <si>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</si>
  <si>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</si>
  <si>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</si>
  <si>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</si>
  <si>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</si>
  <si>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</si>
  <si>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</si>
  <si>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</si>
  <si>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</si>
  <si>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</si>
  <si>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</si>
  <si>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</si>
  <si>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</si>
  <si>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</si>
  <si>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</si>
  <si>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</si>
  <si>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</si>
  <si>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</si>
  <si>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</si>
  <si>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</si>
  <si>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</si>
  <si>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</si>
  <si>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</si>
  <si>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</si>
  <si>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</si>
  <si>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</si>
  <si>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</si>
  <si>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</si>
  <si>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</si>
  <si>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</si>
  <si>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</si>
  <si>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</si>
  <si>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</si>
  <si>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</si>
  <si>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</si>
  <si>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</si>
  <si>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</si>
  <si>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</si>
  <si>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</si>
  <si>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</si>
  <si>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</si>
  <si>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</si>
  <si>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</si>
  <si>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</si>
  <si>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</si>
  <si>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</si>
  <si>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</si>
  <si>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</si>
  <si>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</si>
  <si>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</si>
  <si>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</si>
  <si>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</si>
  <si>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</si>
  <si>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</si>
  <si>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</si>
  <si>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</si>
  <si>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</si>
  <si>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</si>
  <si>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</si>
  <si>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</si>
  <si>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</si>
  <si>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</si>
  <si>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</si>
  <si>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</si>
  <si>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</si>
  <si>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</si>
  <si>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</si>
  <si>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</si>
  <si>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</si>
  <si>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</si>
  <si>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</si>
  <si>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</si>
  <si>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</si>
  <si>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</si>
  <si>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</si>
  <si>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</si>
  <si>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</si>
  <si>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</si>
  <si>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</si>
  <si>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</si>
  <si>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</si>
  <si>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</si>
  <si>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</si>
  <si>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</si>
  <si>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</si>
  <si>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</si>
  <si>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</si>
  <si>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</si>
  <si>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</si>
  <si>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</si>
  <si>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</si>
  <si>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</si>
  <si>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</si>
  <si>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</si>
  <si>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</si>
  <si>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</si>
  <si>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</si>
  <si>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</si>
  <si>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</si>
  <si>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</si>
  <si>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</si>
  <si>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</si>
  <si>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</si>
  <si>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</si>
  <si>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</si>
  <si>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</si>
  <si>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</si>
  <si>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</si>
  <si>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</si>
  <si>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</si>
  <si>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</si>
  <si>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</si>
  <si>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</si>
  <si>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</si>
  <si>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</si>
  <si>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</si>
  <si>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</si>
  <si>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</si>
  <si>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</si>
  <si>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</si>
  <si>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</si>
  <si>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</si>
  <si>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</si>
  <si>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</si>
  <si>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</si>
  <si>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</si>
  <si>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</si>
  <si>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</si>
  <si>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</si>
  <si>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</si>
  <si>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</si>
  <si>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</si>
  <si>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</si>
  <si>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</si>
  <si>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</si>
  <si>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</si>
  <si>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</si>
  <si>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</si>
  <si>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</si>
  <si>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</si>
  <si>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</si>
  <si>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</si>
  <si>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</si>
  <si>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</si>
  <si>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</si>
  <si>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</si>
  <si>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</si>
  <si>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</si>
  <si>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</si>
  <si>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</si>
  <si>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</si>
  <si>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</si>
  <si>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</si>
  <si>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</si>
  <si>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</si>
  <si>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</si>
  <si>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</si>
  <si>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</si>
  <si>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</si>
  <si>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</si>
  <si>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</si>
  <si>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</si>
  <si>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</si>
  <si>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</si>
  <si>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</si>
  <si>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</si>
  <si>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</si>
  <si>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</si>
  <si>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</si>
  <si>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</si>
  <si>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</si>
  <si>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</si>
  <si>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</si>
  <si>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</si>
  <si>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</si>
  <si>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</si>
  <si>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</si>
  <si>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</si>
  <si>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</si>
  <si>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</si>
  <si>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</si>
  <si>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</si>
  <si>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</si>
  <si>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</si>
  <si>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</si>
  <si>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</si>
  <si>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</si>
  <si>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</si>
  <si>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</si>
  <si>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</si>
  <si>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</si>
  <si>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</si>
  <si>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</si>
  <si>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</si>
  <si>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</si>
  <si>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</si>
  <si>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</si>
  <si>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</si>
  <si>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</si>
  <si>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</si>
  <si>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</si>
  <si>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</si>
  <si>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</si>
  <si>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</si>
  <si>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</si>
  <si>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</si>
  <si>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</si>
  <si>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</si>
  <si>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</si>
  <si>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</si>
  <si>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</si>
  <si>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</si>
  <si>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</si>
  <si>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</si>
  <si>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</si>
  <si>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</si>
  <si>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</si>
  <si>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</si>
  <si>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</si>
  <si>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</si>
  <si>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</si>
  <si>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</si>
  <si>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</si>
  <si>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</si>
  <si>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</si>
  <si>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</si>
  <si>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</si>
  <si>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</si>
  <si>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</si>
  <si>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</si>
  <si>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</si>
  <si>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</si>
  <si>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</si>
  <si>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</si>
  <si>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</si>
  <si>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</si>
  <si>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</si>
  <si>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</si>
  <si>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</si>
  <si>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</si>
  <si>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</si>
  <si>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</si>
  <si>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</si>
  <si>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</si>
  <si>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</si>
  <si>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</si>
  <si>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</si>
  <si>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</si>
  <si>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</si>
  <si>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</si>
  <si>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</si>
  <si>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</si>
  <si>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</si>
  <si>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</si>
  <si>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</si>
  <si>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</si>
  <si>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</si>
  <si>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</si>
  <si>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</si>
  <si>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</si>
  <si>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</si>
  <si>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</si>
  <si>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</si>
  <si>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</si>
  <si>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</si>
  <si>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</si>
  <si>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</si>
  <si>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</si>
  <si>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</si>
  <si>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</si>
  <si>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</si>
  <si>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</si>
  <si>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</si>
  <si>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</si>
  <si>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</si>
  <si>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</si>
  <si>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</si>
  <si>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</si>
  <si>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</si>
  <si>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</si>
  <si>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</si>
  <si>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</si>
  <si>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</si>
  <si>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</si>
  <si>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</si>
  <si>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</si>
  <si>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</si>
  <si>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</si>
  <si>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</si>
  <si>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</si>
  <si>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</si>
  <si>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</si>
  <si>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</si>
  <si>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</si>
  <si>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</si>
  <si>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</si>
  <si>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</si>
  <si>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</si>
  <si>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</si>
  <si>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</si>
  <si>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</si>
  <si>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</si>
  <si>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</si>
  <si>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</si>
  <si>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</si>
  <si>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</si>
  <si>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</si>
  <si>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</si>
  <si>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</si>
  <si>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</si>
  <si>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</si>
  <si>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</si>
  <si>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</si>
  <si>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</si>
  <si>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</si>
  <si>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</si>
  <si>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</si>
  <si>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</si>
  <si>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</si>
  <si>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</si>
  <si>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</si>
  <si>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</si>
  <si>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</si>
  <si>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</si>
  <si>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</si>
  <si>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</si>
  <si>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</si>
  <si>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</si>
  <si>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</si>
  <si>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</si>
  <si>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</si>
  <si>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</si>
  <si>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</si>
  <si>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</si>
  <si>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</si>
  <si>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</si>
  <si>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</si>
  <si>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</si>
  <si>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</si>
  <si>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</si>
  <si>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</si>
  <si>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</si>
  <si>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</si>
  <si>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</si>
  <si>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</si>
  <si>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</si>
  <si>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</si>
  <si>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</si>
  <si>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</si>
  <si>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</si>
  <si>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</si>
  <si>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</si>
  <si>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</si>
  <si>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</si>
  <si>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</si>
  <si>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</si>
  <si>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</si>
  <si>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</si>
  <si>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</si>
  <si>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</si>
  <si>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</si>
  <si>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</si>
  <si>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</si>
  <si>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</si>
  <si>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</si>
  <si>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</si>
  <si>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</si>
  <si>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</si>
  <si>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</si>
  <si>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</si>
  <si>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</si>
  <si>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</si>
  <si>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</si>
  <si>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</si>
  <si>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</si>
  <si>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</si>
  <si>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</si>
  <si>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</si>
  <si>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</si>
  <si>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</si>
  <si>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</si>
  <si>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</si>
  <si>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</si>
  <si>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</si>
  <si>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</si>
  <si>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</si>
  <si>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</si>
  <si>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</si>
  <si>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</si>
  <si>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</si>
  <si>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</si>
  <si>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</si>
  <si>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</si>
  <si>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</si>
  <si>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</si>
  <si>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</si>
  <si>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</si>
  <si>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</si>
  <si>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</si>
  <si>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</si>
  <si>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</si>
  <si>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</si>
  <si>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</si>
  <si>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</si>
  <si>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</si>
  <si>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</si>
  <si>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</si>
  <si>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</si>
  <si>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</si>
  <si>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</si>
  <si>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</si>
  <si>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</si>
  <si>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</si>
  <si>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</si>
  <si>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</si>
  <si>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</si>
  <si>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</si>
  <si>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</si>
  <si>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</si>
  <si>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</si>
  <si>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</si>
  <si>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</si>
  <si>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</si>
  <si>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</si>
  <si>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</si>
  <si>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</si>
  <si>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</si>
  <si>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</si>
  <si>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</si>
  <si>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</si>
  <si>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</si>
  <si>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</si>
  <si>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</si>
  <si>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</si>
  <si>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</si>
  <si>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</si>
  <si>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</si>
  <si>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</si>
  <si>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</si>
  <si>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</si>
  <si>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</si>
  <si>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</si>
  <si>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</si>
  <si>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</si>
  <si>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</si>
  <si>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</si>
  <si>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</si>
  <si>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</si>
  <si>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</si>
  <si>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</si>
  <si>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</si>
  <si>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</si>
  <si>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</si>
  <si>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</si>
  <si>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</si>
  <si>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</si>
  <si>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</si>
  <si>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</si>
  <si>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</si>
  <si>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</si>
  <si>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</si>
  <si>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</si>
  <si>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</si>
  <si>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</si>
  <si>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</si>
  <si>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</si>
  <si>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</si>
  <si>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</si>
  <si>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</si>
  <si>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</si>
  <si>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</si>
  <si>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</si>
  <si>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</si>
  <si>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</si>
  <si>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</si>
  <si>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</si>
  <si>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</si>
  <si>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</si>
  <si>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</si>
  <si>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</si>
  <si>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</si>
  <si>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</si>
  <si>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</si>
  <si>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</si>
  <si>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</si>
  <si>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</si>
  <si>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</si>
  <si>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</si>
  <si>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</si>
  <si>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</si>
  <si>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</si>
  <si>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</si>
  <si>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</si>
  <si>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</si>
  <si>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</si>
  <si>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</si>
  <si>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</si>
  <si>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</si>
  <si>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</si>
  <si>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</si>
  <si>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</si>
  <si>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</si>
  <si>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</si>
  <si>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</si>
  <si>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</si>
  <si>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</si>
  <si>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</si>
  <si>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</si>
  <si>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</si>
  <si>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</si>
  <si>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</si>
  <si>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</si>
  <si>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</si>
  <si>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</si>
  <si>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</si>
  <si>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</si>
  <si>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</si>
  <si>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</si>
  <si>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</si>
  <si>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</si>
  <si>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</si>
  <si>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</si>
  <si>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</si>
  <si>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</si>
  <si>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</si>
  <si>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</si>
  <si>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</si>
  <si>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</si>
  <si>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</si>
  <si>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</si>
  <si>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</si>
  <si>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</si>
  <si>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</si>
  <si>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</si>
  <si>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</si>
  <si>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</si>
  <si>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</si>
  <si>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</si>
  <si>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</si>
  <si>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</si>
  <si>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</si>
  <si>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</si>
  <si>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</si>
  <si>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</si>
  <si>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</si>
  <si>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</si>
  <si>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</si>
  <si>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</si>
  <si>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</si>
  <si>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</si>
  <si>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</si>
  <si>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</si>
  <si>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</si>
  <si>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</si>
  <si>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</si>
  <si>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</si>
  <si>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</si>
  <si>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</si>
  <si>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</si>
  <si>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</si>
  <si>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</si>
  <si>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</si>
  <si>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</si>
  <si>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</si>
  <si>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</si>
  <si>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</si>
  <si>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</si>
  <si>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</si>
  <si>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</si>
  <si>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</si>
  <si>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</si>
  <si>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</si>
  <si>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</si>
  <si>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</si>
  <si>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</si>
  <si>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</si>
  <si>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</si>
  <si>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</si>
  <si>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</si>
  <si>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</si>
  <si>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</si>
  <si>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</si>
  <si>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</si>
  <si>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</si>
  <si>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</si>
  <si>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</si>
  <si>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</si>
  <si>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</si>
  <si>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</si>
  <si>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</si>
  <si>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</si>
  <si>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</si>
  <si>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</si>
  <si>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</si>
  <si>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</si>
  <si>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</si>
  <si>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</si>
  <si>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</si>
  <si>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</si>
  <si>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</si>
  <si>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</si>
  <si>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</si>
  <si>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</si>
  <si>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</si>
  <si>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</si>
  <si>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</si>
  <si>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</si>
  <si>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</si>
  <si>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</si>
  <si>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</si>
  <si>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</si>
  <si>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</si>
  <si>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</si>
  <si>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</si>
  <si>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</si>
  <si>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</si>
  <si>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</si>
  <si>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</si>
  <si>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</si>
  <si>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</si>
  <si>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</si>
  <si>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</si>
  <si>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</si>
  <si>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</si>
  <si>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</si>
  <si>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</si>
  <si>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</si>
  <si>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</si>
  <si>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</si>
  <si>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</si>
  <si>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</si>
  <si>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</si>
  <si>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</si>
  <si>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</si>
  <si>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</si>
  <si>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</si>
  <si>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</si>
  <si>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</si>
  <si>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</si>
  <si>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</si>
  <si>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</si>
  <si>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</si>
  <si>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</si>
  <si>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</si>
  <si>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</si>
  <si>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</si>
  <si>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</si>
  <si>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</si>
  <si>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</si>
  <si>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</si>
  <si>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</si>
  <si>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</si>
  <si>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</si>
  <si>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</si>
  <si>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</si>
  <si>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</si>
  <si>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</si>
  <si>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</si>
  <si>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</si>
  <si>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</si>
  <si>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</si>
  <si>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</si>
  <si>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</si>
  <si>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</si>
  <si>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</si>
  <si>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</si>
  <si>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</si>
  <si>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</si>
  <si>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</si>
  <si>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</si>
  <si>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</si>
  <si>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</si>
  <si>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</si>
  <si>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</si>
  <si>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</si>
  <si>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</si>
  <si>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</si>
  <si>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</si>
  <si>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</si>
  <si>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</si>
  <si>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</si>
  <si>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</si>
  <si>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</si>
  <si>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</si>
  <si>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</si>
  <si>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</si>
  <si>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</si>
  <si>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</si>
  <si>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</si>
  <si>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</si>
  <si>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</si>
  <si>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</si>
  <si>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</si>
  <si>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</si>
  <si>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</si>
  <si>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</si>
  <si>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</si>
  <si>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</si>
  <si>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</si>
  <si>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</si>
  <si>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</si>
  <si>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</si>
  <si>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</si>
  <si>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</si>
  <si>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</si>
  <si>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</si>
  <si>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</si>
  <si>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</si>
  <si>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</si>
  <si>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</si>
  <si>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</si>
  <si>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</si>
  <si>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</si>
  <si>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</si>
  <si>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</si>
  <si>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</si>
  <si>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</si>
  <si>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</si>
  <si>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</si>
  <si>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</si>
  <si>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</si>
  <si>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</si>
  <si>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</si>
  <si>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</si>
  <si>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</si>
  <si>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</si>
  <si>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</si>
  <si>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</si>
  <si>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</si>
  <si>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</si>
  <si>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</si>
  <si>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</si>
  <si>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</si>
  <si>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</si>
  <si>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</si>
  <si>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</si>
  <si>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</si>
  <si>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</si>
  <si>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</si>
  <si>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</si>
  <si>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</si>
  <si>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</si>
  <si>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</si>
  <si>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</si>
  <si>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</si>
  <si>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</si>
  <si>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</si>
  <si>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</si>
  <si>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</si>
  <si>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</si>
  <si>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</si>
  <si>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</si>
  <si>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</si>
  <si>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</si>
  <si>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</si>
  <si>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</si>
  <si>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</si>
  <si>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</si>
  <si>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</si>
  <si>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</si>
  <si>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</si>
  <si>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</si>
  <si>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</si>
  <si>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</si>
  <si>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</si>
  <si>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</si>
  <si>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</si>
  <si>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</si>
  <si>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</si>
  <si>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</si>
  <si>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</si>
  <si>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</si>
  <si>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</si>
  <si>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</si>
  <si>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</si>
  <si>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</si>
  <si>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</si>
  <si>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</si>
  <si>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</si>
  <si>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</si>
  <si>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</si>
  <si>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</si>
  <si>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</si>
  <si>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</si>
  <si>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</si>
  <si>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</si>
  <si>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</si>
  <si>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</si>
  <si>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</si>
  <si>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</si>
  <si>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</si>
  <si>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</si>
  <si>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</si>
  <si>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</si>
  <si>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</si>
  <si>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</si>
  <si>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</si>
  <si>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</si>
  <si>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</si>
  <si>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</si>
  <si>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</si>
  <si>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</si>
  <si>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</si>
  <si>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</si>
  <si>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</si>
  <si>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</si>
  <si>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</si>
  <si>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</si>
  <si>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</si>
  <si>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</si>
  <si>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</si>
  <si>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</si>
  <si>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</si>
  <si>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</si>
  <si>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</si>
  <si>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</si>
  <si>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</si>
  <si>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</si>
  <si>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</si>
  <si>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</si>
  <si>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</si>
  <si>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</si>
  <si>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</si>
  <si>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</si>
  <si>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</si>
  <si>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</si>
  <si>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</si>
  <si>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</si>
  <si>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</si>
  <si>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</si>
  <si>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</si>
  <si>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</si>
  <si>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</si>
  <si>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</si>
  <si>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</si>
  <si>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</si>
  <si>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</si>
  <si>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</si>
  <si>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</si>
  <si>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</si>
  <si>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</si>
  <si>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</si>
  <si>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</si>
  <si>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</si>
  <si>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</si>
  <si>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</si>
  <si>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</si>
  <si>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</si>
  <si>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</si>
  <si>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</si>
  <si>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</si>
  <si>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</si>
  <si>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</si>
  <si>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</si>
  <si>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</si>
  <si>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</si>
  <si>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</si>
  <si>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</si>
  <si>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</si>
  <si>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</si>
  <si>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</si>
  <si>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</si>
  <si>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</si>
  <si>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</si>
  <si>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</si>
  <si>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</si>
  <si>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</si>
  <si>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</si>
  <si>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</si>
  <si>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</si>
  <si>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</si>
  <si>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</si>
  <si>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</si>
  <si>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</si>
  <si>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</si>
  <si>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</si>
  <si>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</si>
  <si>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</si>
  <si>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</si>
  <si>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</si>
  <si>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</si>
  <si>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</si>
  <si>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</si>
  <si>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</si>
  <si>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</si>
  <si>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</si>
  <si>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</si>
  <si>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</si>
  <si>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</si>
  <si>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</si>
  <si>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</si>
  <si>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</si>
  <si>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</si>
  <si>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</si>
  <si>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</si>
  <si>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</si>
  <si>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</si>
  <si>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</si>
  <si>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</si>
  <si>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</si>
  <si>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</si>
  <si>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</si>
  <si>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</si>
  <si>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</si>
  <si>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</si>
  <si>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</si>
  <si>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</si>
  <si>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</si>
  <si>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</si>
  <si>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</si>
  <si>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</si>
  <si>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</si>
  <si>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</si>
  <si>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</si>
  <si>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</si>
  <si>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</si>
  <si>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</si>
  <si>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</si>
  <si>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</si>
  <si>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</si>
  <si>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</si>
  <si>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</si>
  <si>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</si>
  <si>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</si>
  <si>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</si>
  <si>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</si>
  <si>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</si>
  <si>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</si>
  <si>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</si>
  <si>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</si>
  <si>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</si>
  <si>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</si>
  <si>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</si>
  <si>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</si>
  <si>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</si>
  <si>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</si>
  <si>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</si>
  <si>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</si>
  <si>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</si>
  <si>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</si>
  <si>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</si>
  <si>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</si>
  <si>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</si>
  <si>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</si>
  <si>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</si>
  <si>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</si>
  <si>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</si>
  <si>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</si>
  <si>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</si>
  <si>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</si>
  <si>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</si>
  <si>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</si>
  <si>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</si>
  <si>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</si>
  <si>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</si>
  <si>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</si>
  <si>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</si>
  <si>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</si>
  <si>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</si>
  <si>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</si>
  <si>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</si>
  <si>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</si>
  <si>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</si>
  <si>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</si>
  <si>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</si>
  <si>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</si>
  <si>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</si>
  <si>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</si>
  <si>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</si>
  <si>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</si>
  <si>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</si>
  <si>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</si>
  <si>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</si>
  <si>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</si>
  <si>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</si>
  <si>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</si>
  <si>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</si>
  <si>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</si>
  <si>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</si>
  <si>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</si>
  <si>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</si>
  <si>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</si>
  <si>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</si>
  <si>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</si>
  <si>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</si>
  <si>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</si>
  <si>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</si>
  <si>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</si>
  <si>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</si>
  <si>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</si>
  <si>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</si>
  <si>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</si>
  <si>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</si>
  <si>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</si>
  <si>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</si>
  <si>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</si>
  <si>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</si>
  <si>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</si>
  <si>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</si>
  <si>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</si>
  <si>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</si>
  <si>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</si>
  <si>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</si>
  <si>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</si>
  <si>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</si>
  <si>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</si>
  <si>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</si>
  <si>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</si>
  <si>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</si>
  <si>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</si>
  <si>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</si>
  <si>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</si>
  <si>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</si>
  <si>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</si>
  <si>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</si>
  <si>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</si>
  <si>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</si>
  <si>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</si>
  <si>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</si>
  <si>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</si>
  <si>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</si>
  <si>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</si>
  <si>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</si>
  <si>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</si>
  <si>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</si>
  <si>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</si>
  <si>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</si>
  <si>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</si>
  <si>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</si>
  <si>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</si>
  <si>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</si>
  <si>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</si>
  <si>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</si>
  <si>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</si>
  <si>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</si>
  <si>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</si>
  <si>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</si>
  <si>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</si>
  <si>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</si>
  <si>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</si>
  <si>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</si>
  <si>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</si>
  <si>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</si>
  <si>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</si>
  <si>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</si>
  <si>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</si>
  <si>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</si>
  <si>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</si>
  <si>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</si>
  <si>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</si>
  <si>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</si>
  <si>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</si>
  <si>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</si>
  <si>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</si>
  <si>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</si>
  <si>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</si>
  <si>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</si>
  <si>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</si>
  <si>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</si>
  <si>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</si>
  <si>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</si>
  <si>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</si>
  <si>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</si>
  <si>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</si>
  <si>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</si>
  <si>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</si>
  <si>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</si>
  <si>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</si>
  <si>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</si>
  <si>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</si>
  <si>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</si>
  <si>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</si>
  <si>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</si>
  <si>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</si>
  <si>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</si>
  <si>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</si>
  <si>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</si>
  <si>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</si>
  <si>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</si>
  <si>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</si>
  <si>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</si>
  <si>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</si>
  <si>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</si>
  <si>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</si>
  <si>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</si>
  <si>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</si>
  <si>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</si>
  <si>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</si>
  <si>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</si>
  <si>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</si>
  <si>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</si>
  <si>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</si>
  <si>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</si>
  <si>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</si>
  <si>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</si>
  <si>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</si>
  <si>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</si>
  <si>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</si>
  <si>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</si>
  <si>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</si>
  <si>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</si>
  <si>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</si>
  <si>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</si>
  <si>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</si>
  <si>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</si>
  <si>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</si>
  <si>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</si>
  <si>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</si>
  <si>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</si>
  <si>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</si>
  <si>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</si>
  <si>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</si>
  <si>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</si>
  <si>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</si>
  <si>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</si>
  <si>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</si>
  <si>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</si>
  <si>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</si>
  <si>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</si>
  <si>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</si>
  <si>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</si>
  <si>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</si>
  <si>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</si>
  <si>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</si>
  <si>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</si>
  <si>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</si>
  <si>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</si>
  <si>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</si>
  <si>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</si>
  <si>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</si>
  <si>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</si>
  <si>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</si>
  <si>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</si>
  <si>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</si>
  <si>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</si>
  <si>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</si>
  <si>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</si>
  <si>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</si>
  <si>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</si>
  <si>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</si>
  <si>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</si>
  <si>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</si>
  <si>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</si>
  <si>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</si>
  <si>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</si>
  <si>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</si>
  <si>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</si>
  <si>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</si>
  <si>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</si>
  <si>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</si>
  <si>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</si>
  <si>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</si>
  <si>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</si>
  <si>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</si>
  <si>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</si>
  <si>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</si>
  <si>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</si>
  <si>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</si>
  <si>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</si>
  <si>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</si>
  <si>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</si>
  <si>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</si>
  <si>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</si>
  <si>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</si>
  <si>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</si>
  <si>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</si>
  <si>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</si>
  <si>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</si>
  <si>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</si>
  <si>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</si>
  <si>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</si>
  <si>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</si>
  <si>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</si>
  <si>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</si>
  <si>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</si>
  <si>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</si>
  <si>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</si>
  <si>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</si>
  <si>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</si>
  <si>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</si>
  <si>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</si>
  <si>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</si>
  <si>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</si>
  <si>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</si>
  <si>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</si>
  <si>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</si>
  <si>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</si>
  <si>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</si>
  <si>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</si>
  <si>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</si>
  <si>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</si>
  <si>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</si>
  <si>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</si>
  <si>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</si>
  <si>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</si>
  <si>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</si>
  <si>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</si>
  <si>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</si>
  <si>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</si>
  <si>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</si>
  <si>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</si>
  <si>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</si>
  <si>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</si>
  <si>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</si>
  <si>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</si>
  <si>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</si>
  <si>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</si>
  <si>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</si>
  <si>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</si>
  <si>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</si>
  <si>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</si>
  <si>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</si>
  <si>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</si>
  <si>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</si>
  <si>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</si>
  <si>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</si>
  <si>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</si>
  <si>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</si>
  <si>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</si>
  <si>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</si>
  <si>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</si>
  <si>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</si>
  <si>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</si>
  <si>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</si>
  <si>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</si>
  <si>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</si>
  <si>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</si>
  <si>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</si>
  <si>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</si>
  <si>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</si>
  <si>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</si>
  <si>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</si>
  <si>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</si>
  <si>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</si>
  <si>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</si>
  <si>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</si>
  <si>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</si>
  <si>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</si>
  <si>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</si>
  <si>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</si>
  <si>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</si>
  <si>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</si>
  <si>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</si>
  <si>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</si>
  <si>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</si>
  <si>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</si>
  <si>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</si>
  <si>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</si>
  <si>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</si>
  <si>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</si>
  <si>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</si>
  <si>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</si>
  <si>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</si>
  <si>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</si>
  <si>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</si>
  <si>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</si>
  <si>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</si>
  <si>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</si>
  <si>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</si>
  <si>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</si>
  <si>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</si>
  <si>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</si>
  <si>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</si>
  <si>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</si>
  <si>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</si>
  <si>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</si>
  <si>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</si>
  <si>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</si>
  <si>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</si>
  <si>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</si>
  <si>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</si>
  <si>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</si>
  <si>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</si>
  <si>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</si>
  <si>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</si>
  <si>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</si>
  <si>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</si>
  <si>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</si>
  <si>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</si>
  <si>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</si>
  <si>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</si>
  <si>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</si>
  <si>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</si>
  <si>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</si>
  <si>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</si>
  <si>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</si>
  <si>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</si>
  <si>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</si>
  <si>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</si>
  <si>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</si>
  <si>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</si>
  <si>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</si>
  <si>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</si>
  <si>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</si>
  <si>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</si>
  <si>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</si>
  <si>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</si>
  <si>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</si>
  <si>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</si>
  <si>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</si>
  <si>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</si>
  <si>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</si>
  <si>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</si>
  <si>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</si>
  <si>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</si>
  <si>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</si>
  <si>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</si>
  <si>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</si>
  <si>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</si>
  <si>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</si>
  <si>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</si>
  <si>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</si>
  <si>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</si>
  <si>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</si>
  <si>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</si>
  <si>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</si>
  <si>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</si>
  <si>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</si>
  <si>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</si>
  <si>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</si>
  <si>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</si>
  <si>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</si>
  <si>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</si>
  <si>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</si>
  <si>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</si>
  <si>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</si>
  <si>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</si>
  <si>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</si>
  <si>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</si>
  <si>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</si>
  <si>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</si>
  <si>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</si>
  <si>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</si>
  <si>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</si>
  <si>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</si>
  <si>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</si>
  <si>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</si>
  <si>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</si>
  <si>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</si>
  <si>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</si>
  <si>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</si>
  <si>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</si>
  <si>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</si>
  <si>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</si>
  <si>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</si>
  <si>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</si>
  <si>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</si>
  <si>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</si>
  <si>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</si>
  <si>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</si>
  <si>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</si>
  <si>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</si>
  <si>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</si>
  <si>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</si>
  <si>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</si>
  <si>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</si>
  <si>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</si>
  <si>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</si>
  <si>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</si>
  <si>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</si>
  <si>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</si>
  <si>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</si>
  <si>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</si>
  <si>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</si>
  <si>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</si>
  <si>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</si>
  <si>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</si>
  <si>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</si>
  <si>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</si>
  <si>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</si>
  <si>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</si>
  <si>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</si>
  <si>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</si>
  <si>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</si>
  <si>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</si>
  <si>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</si>
  <si>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</si>
  <si>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</si>
  <si>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</si>
  <si>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</si>
  <si>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</si>
  <si>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</si>
  <si>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</si>
  <si>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</si>
  <si>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</si>
  <si>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</si>
  <si>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</si>
  <si>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</si>
  <si>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</si>
  <si>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</si>
  <si>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</si>
  <si>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</si>
  <si>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</si>
  <si>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</si>
  <si>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</si>
  <si>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</si>
  <si>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</si>
  <si>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</si>
  <si>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</si>
  <si>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</si>
  <si>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</si>
  <si>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</si>
  <si>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</si>
  <si>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</si>
  <si>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</si>
  <si>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</si>
  <si>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</si>
  <si>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</si>
  <si>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</si>
  <si>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</si>
  <si>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</si>
  <si>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</si>
  <si>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</si>
  <si>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</si>
  <si>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</si>
  <si>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</si>
  <si>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</si>
  <si>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</si>
  <si>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</si>
  <si>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</si>
  <si>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</si>
  <si>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</si>
  <si>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</si>
  <si>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</si>
  <si>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</si>
  <si>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</si>
  <si>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</si>
  <si>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</si>
  <si>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</si>
  <si>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</si>
  <si>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</si>
  <si>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</si>
  <si>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</si>
  <si>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</si>
  <si>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</si>
  <si>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</si>
  <si>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</si>
  <si>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</si>
  <si>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</si>
  <si>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</si>
  <si>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</si>
  <si>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</si>
  <si>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</si>
  <si>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</si>
  <si>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</si>
  <si>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</si>
  <si>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</si>
  <si>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</si>
  <si>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</si>
  <si>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</si>
  <si>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</si>
  <si>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</si>
  <si>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</si>
  <si>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</si>
  <si>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</si>
  <si>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</si>
  <si>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</si>
  <si>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</si>
  <si>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</si>
  <si>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</si>
  <si>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</si>
  <si>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</si>
  <si>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</si>
  <si>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</si>
  <si>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</si>
  <si>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</si>
  <si>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</si>
  <si>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</si>
  <si>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</si>
  <si>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</si>
  <si>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</si>
  <si>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</si>
  <si>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</si>
  <si>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</si>
  <si>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</si>
  <si>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</si>
  <si>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</si>
  <si>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</si>
  <si>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</si>
  <si>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</si>
  <si>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</si>
  <si>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</si>
  <si>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</si>
  <si>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</si>
  <si>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</si>
  <si>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</si>
  <si>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</si>
  <si>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</si>
  <si>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</si>
  <si>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</si>
  <si>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</si>
  <si>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</si>
  <si>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</si>
  <si>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</si>
  <si>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</si>
  <si>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</si>
  <si>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</si>
  <si>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</si>
  <si>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</si>
  <si>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</si>
  <si>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</si>
  <si>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</si>
  <si>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</si>
  <si>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</si>
  <si>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</si>
  <si>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</si>
  <si>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</si>
  <si>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</si>
  <si>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</si>
  <si>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</si>
  <si>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</si>
  <si>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</si>
  <si>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</si>
  <si>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</si>
  <si>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</si>
  <si>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</si>
  <si>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</si>
  <si>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</si>
  <si>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</si>
  <si>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</si>
  <si>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</si>
  <si>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</si>
  <si>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</si>
  <si>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</si>
  <si>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</si>
  <si>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</si>
  <si>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</si>
  <si>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</si>
  <si>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</si>
  <si>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</si>
  <si>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</si>
  <si>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</si>
  <si>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</si>
  <si>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</si>
  <si>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</si>
  <si>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</si>
  <si>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</si>
  <si>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</si>
  <si>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</si>
  <si>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</si>
  <si>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</si>
  <si>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</si>
  <si>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</si>
  <si>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</si>
  <si>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</si>
  <si>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</si>
  <si>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</si>
  <si>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</si>
  <si>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</si>
  <si>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</si>
  <si>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</si>
  <si>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</si>
  <si>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</si>
  <si>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</si>
  <si>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</si>
  <si>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</si>
  <si>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</si>
  <si>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</si>
  <si>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</si>
  <si>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</si>
  <si>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</si>
  <si>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</si>
  <si>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</si>
  <si>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</si>
  <si>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</si>
  <si>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</si>
  <si>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</si>
  <si>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</si>
  <si>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</si>
  <si>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</si>
  <si>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</si>
  <si>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</si>
  <si>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</si>
  <si>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</si>
  <si>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</si>
  <si>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</si>
  <si>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</si>
  <si>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</si>
  <si>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</si>
  <si>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</si>
  <si>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</si>
  <si>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</si>
  <si>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</si>
  <si>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</si>
  <si>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</si>
  <si>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</si>
  <si>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</si>
  <si>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</si>
  <si>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</si>
  <si>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</si>
  <si>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</si>
  <si>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</si>
  <si>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</si>
  <si>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</si>
  <si>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</si>
  <si>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</si>
  <si>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</si>
  <si>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</si>
  <si>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</si>
  <si>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</si>
  <si>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</si>
  <si>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</si>
  <si>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</si>
  <si>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</si>
  <si>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</si>
  <si>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</si>
  <si>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</si>
  <si>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</si>
  <si>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</si>
  <si>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</si>
  <si>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</si>
  <si>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</si>
  <si>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</si>
  <si>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</si>
  <si>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</si>
  <si>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</si>
  <si>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</si>
  <si>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</si>
  <si>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</si>
  <si>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</si>
  <si>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</si>
  <si>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</si>
  <si>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</si>
  <si>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</si>
  <si>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</si>
  <si>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</si>
  <si>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</si>
  <si>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</si>
  <si>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</si>
  <si>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</si>
  <si>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</si>
  <si>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</si>
  <si>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</si>
  <si>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</si>
  <si>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</si>
  <si>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</si>
  <si>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</si>
  <si>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</si>
  <si>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</si>
  <si>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</si>
  <si>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</si>
  <si>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</si>
  <si>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</si>
  <si>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</si>
  <si>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</si>
  <si>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</si>
  <si>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</si>
  <si>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</si>
  <si>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</si>
  <si>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</si>
  <si>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</si>
  <si>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</si>
  <si>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</si>
  <si>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</si>
  <si>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</si>
  <si>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</si>
  <si>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</si>
  <si>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</si>
  <si>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</si>
  <si>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</si>
  <si>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</si>
  <si>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</si>
  <si>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</si>
  <si>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</si>
  <si>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</si>
  <si>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</si>
  <si>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</si>
  <si>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</si>
  <si>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</si>
  <si>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</si>
  <si>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</si>
  <si>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</si>
  <si>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</si>
  <si>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</si>
  <si>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</si>
  <si>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</si>
  <si>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</si>
  <si>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</si>
  <si>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</si>
  <si>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</si>
  <si>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</si>
  <si>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</si>
  <si>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</si>
  <si>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</si>
  <si>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</si>
  <si>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</si>
  <si>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</si>
  <si>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</si>
  <si>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</si>
  <si>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</si>
  <si>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</si>
  <si>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</si>
  <si>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</si>
  <si>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</si>
  <si>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</si>
  <si>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</si>
  <si>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</si>
  <si>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</si>
  <si>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</si>
  <si>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</si>
  <si>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</si>
  <si>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</si>
  <si>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</si>
  <si>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</si>
  <si>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</si>
  <si>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</si>
  <si>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</si>
  <si>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</si>
  <si>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</si>
  <si>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</si>
  <si>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</si>
  <si>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</si>
  <si>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</si>
  <si>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</si>
  <si>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</si>
  <si>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</si>
  <si>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</si>
  <si>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</si>
  <si>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</si>
  <si>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</si>
  <si>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</si>
  <si>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</si>
  <si>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</si>
  <si>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</si>
  <si>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</si>
  <si>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</si>
  <si>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</si>
  <si>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</si>
  <si>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</si>
  <si>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</si>
  <si>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</si>
  <si>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</si>
  <si>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</si>
  <si>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</si>
  <si>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</si>
  <si>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</si>
  <si>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</si>
  <si>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</si>
  <si>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</si>
  <si>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</si>
  <si>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</si>
  <si>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</si>
  <si>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</si>
  <si>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</si>
  <si>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</si>
  <si>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</si>
  <si>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</si>
  <si>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</si>
  <si>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</si>
  <si>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</si>
  <si>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</si>
  <si>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</si>
  <si>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</si>
  <si>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</si>
  <si>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</si>
  <si>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</si>
  <si>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</si>
  <si>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</si>
  <si>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</si>
  <si>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</si>
  <si>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</si>
  <si>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</si>
  <si>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</si>
  <si>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</si>
  <si>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</si>
  <si>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</si>
  <si>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</si>
  <si>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</si>
  <si>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</si>
  <si>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</si>
  <si>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</si>
  <si>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</si>
  <si>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</si>
  <si>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</si>
  <si>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</si>
  <si>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</si>
  <si>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</si>
  <si>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</si>
  <si>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</si>
  <si>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</si>
  <si>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</si>
  <si>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</si>
  <si>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</si>
  <si>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</si>
  <si>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</si>
  <si>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</si>
  <si>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</si>
  <si>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</si>
  <si>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</si>
  <si>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</si>
  <si>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</si>
  <si>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</si>
  <si>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</si>
  <si>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</si>
  <si>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</si>
  <si>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</si>
  <si>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</si>
  <si>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</si>
  <si>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</si>
  <si>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</si>
  <si>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</si>
  <si>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</si>
  <si>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</si>
  <si>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</si>
  <si>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</si>
  <si>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</si>
  <si>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</si>
  <si>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</si>
  <si>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</si>
  <si>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</si>
  <si>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</si>
  <si>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</si>
  <si>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</si>
  <si>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</si>
  <si>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</si>
  <si>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</si>
  <si>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</si>
  <si>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</si>
  <si>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</si>
  <si>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</si>
  <si>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</si>
  <si>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</si>
  <si>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</si>
  <si>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</si>
  <si>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</si>
  <si>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</si>
  <si>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</si>
  <si>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</si>
  <si>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</si>
  <si>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</si>
  <si>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</si>
  <si>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</si>
  <si>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</si>
  <si>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</si>
  <si>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</si>
  <si>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</si>
  <si>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</si>
  <si>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</si>
  <si>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</si>
  <si>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</si>
  <si>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</si>
  <si>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</si>
  <si>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</si>
  <si>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</si>
  <si>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</si>
  <si>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</si>
  <si>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</si>
  <si>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</si>
  <si>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</si>
  <si>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</si>
  <si>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</si>
  <si>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</si>
  <si>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</si>
  <si>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</si>
  <si>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</si>
  <si>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</si>
  <si>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</si>
  <si>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</si>
  <si>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</si>
  <si>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</si>
  <si>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</si>
  <si>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</si>
  <si>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</si>
  <si>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</si>
  <si>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</si>
  <si>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</si>
  <si>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</si>
  <si>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</si>
  <si>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</si>
  <si>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</si>
  <si>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</si>
  <si>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</si>
  <si>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</si>
  <si>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</si>
  <si>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</si>
  <si>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</si>
  <si>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</si>
  <si>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</si>
  <si>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</si>
  <si>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</si>
  <si>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</si>
  <si>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</si>
  <si>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</si>
  <si>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</si>
  <si>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</si>
  <si>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</si>
  <si>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</si>
  <si>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</si>
  <si>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</si>
  <si>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</si>
  <si>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</si>
  <si>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</si>
  <si>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</si>
  <si>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</si>
  <si>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</si>
  <si>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</si>
  <si>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</si>
  <si>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</si>
  <si>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</si>
  <si>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</si>
  <si>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</si>
  <si>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</si>
  <si>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</si>
  <si>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</si>
  <si>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</si>
  <si>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</si>
  <si>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</si>
  <si>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</si>
  <si>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</si>
  <si>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</si>
  <si>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</si>
  <si>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</si>
  <si>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</si>
  <si>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</si>
  <si>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</si>
  <si>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</si>
  <si>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</si>
  <si>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</si>
  <si>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</si>
  <si>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</si>
  <si>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</si>
  <si>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</si>
  <si>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</si>
  <si>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</si>
  <si>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</si>
  <si>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</si>
  <si>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</si>
  <si>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</si>
  <si>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</si>
  <si>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</si>
  <si>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</si>
  <si>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</si>
  <si>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</si>
  <si>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</si>
  <si>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</si>
  <si>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</si>
  <si>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</si>
  <si>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</si>
  <si>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</si>
  <si>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</si>
  <si>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</si>
  <si>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</si>
  <si>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</si>
  <si>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</si>
  <si>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</si>
  <si>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</si>
  <si>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</si>
  <si>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</si>
  <si>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</si>
  <si>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</si>
  <si>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</si>
  <si>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</si>
  <si>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</si>
  <si>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</si>
  <si>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</si>
  <si>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</si>
  <si>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</si>
  <si>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</si>
  <si>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</si>
  <si>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</si>
  <si>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</si>
  <si>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</si>
  <si>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</si>
  <si>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</si>
  <si>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</si>
  <si>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</si>
  <si>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</si>
  <si>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</si>
  <si>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</si>
  <si>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</si>
  <si>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</si>
  <si>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</si>
  <si>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</si>
  <si>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</si>
  <si>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</si>
  <si>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</si>
  <si>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</si>
  <si>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</si>
  <si>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</si>
  <si>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</si>
  <si>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</si>
  <si>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</si>
  <si>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</si>
  <si>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</si>
  <si>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</si>
  <si>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</si>
  <si>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</si>
  <si>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</si>
  <si>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</si>
  <si>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</si>
  <si>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</si>
  <si>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</si>
  <si>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</si>
  <si>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</si>
  <si>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</si>
  <si>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</si>
  <si>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</si>
  <si>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</si>
  <si>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</si>
  <si>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</si>
  <si>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</si>
  <si>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</si>
  <si>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</si>
  <si>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</si>
  <si>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</si>
  <si>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</si>
  <si>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</si>
  <si>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</si>
  <si>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</si>
  <si>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</si>
  <si>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</si>
  <si>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</si>
  <si>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</si>
  <si>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</si>
  <si>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</si>
  <si>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</si>
  <si>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</si>
  <si>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</si>
  <si>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</si>
  <si>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</si>
  <si>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</si>
  <si>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</si>
  <si>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</si>
  <si>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</si>
  <si>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</si>
  <si>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</si>
  <si>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</si>
  <si>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</si>
  <si>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</si>
  <si>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</si>
  <si>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</si>
  <si>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</si>
  <si>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</si>
  <si>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</si>
  <si>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</si>
  <si>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</si>
  <si>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</si>
  <si>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</si>
  <si>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</si>
  <si>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</si>
  <si>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</si>
  <si>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</si>
  <si>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</si>
  <si>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</si>
  <si>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</si>
  <si>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</si>
  <si>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</si>
  <si>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</si>
  <si>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</si>
  <si>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</si>
  <si>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</si>
  <si>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</si>
  <si>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</si>
  <si>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</si>
  <si>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</si>
  <si>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</si>
  <si>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</si>
  <si>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</si>
  <si>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</si>
  <si>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</si>
  <si>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</si>
  <si>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</si>
  <si>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</si>
  <si>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</si>
  <si>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</si>
  <si>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</si>
  <si>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</si>
  <si>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</si>
  <si>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</si>
  <si>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</si>
  <si>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</si>
  <si>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</si>
  <si>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</si>
  <si>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</si>
  <si>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</si>
  <si>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</si>
  <si>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</si>
  <si>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</si>
  <si>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</si>
  <si>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</si>
  <si>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</si>
  <si>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</si>
  <si>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</si>
  <si>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</si>
  <si>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</si>
  <si>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</si>
  <si>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</si>
  <si>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</si>
  <si>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</si>
  <si>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</si>
  <si>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</si>
  <si>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</si>
  <si>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</si>
  <si>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</si>
  <si>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</si>
  <si>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</si>
  <si>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</si>
  <si>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</si>
  <si>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</si>
  <si>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</si>
  <si>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</si>
  <si>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</si>
  <si>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</si>
  <si>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</si>
  <si>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</si>
  <si>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</si>
  <si>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</si>
  <si>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</si>
  <si>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</si>
  <si>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</si>
  <si>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</si>
  <si>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</si>
  <si>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</si>
  <si>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</si>
  <si>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</si>
  <si>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</si>
  <si>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</si>
  <si>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</si>
  <si>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</si>
  <si>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</si>
  <si>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</si>
  <si>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</si>
  <si>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</si>
  <si>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</si>
  <si>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</si>
  <si>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</si>
  <si>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</si>
  <si>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</si>
  <si>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</si>
  <si>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</si>
  <si>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</si>
  <si>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</si>
  <si>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</si>
  <si>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</si>
  <si>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</si>
  <si>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</si>
  <si>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</si>
  <si>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</si>
  <si>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</si>
  <si>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</si>
  <si>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</si>
  <si>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</si>
  <si>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</si>
  <si>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</si>
  <si>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</si>
  <si>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</si>
  <si>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</si>
  <si>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</si>
  <si>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</si>
  <si>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</si>
  <si>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</si>
  <si>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</si>
  <si>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</si>
  <si>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</si>
  <si>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</si>
  <si>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</si>
  <si>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</si>
  <si>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</si>
  <si>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</si>
  <si>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</si>
  <si>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</si>
  <si>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</si>
  <si>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</si>
  <si>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</si>
  <si>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</si>
  <si>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</si>
  <si>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</si>
  <si>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</si>
  <si>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</si>
  <si>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</si>
  <si>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</si>
  <si>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</si>
  <si>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</si>
  <si>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</si>
  <si>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</si>
  <si>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</si>
  <si>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</si>
  <si>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</si>
  <si>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</si>
  <si>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</si>
  <si>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</si>
  <si>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</si>
  <si>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</si>
  <si>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</si>
  <si>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</si>
  <si>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</si>
  <si>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</si>
  <si>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</si>
  <si>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</si>
  <si>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</si>
  <si>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</si>
  <si>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</si>
  <si>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</si>
  <si>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</si>
  <si>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</si>
  <si>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</si>
  <si>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</si>
  <si>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</si>
  <si>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</si>
  <si>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</si>
  <si>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</si>
  <si>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</si>
  <si>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</si>
  <si>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</si>
  <si>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</si>
  <si>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</si>
  <si>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</si>
  <si>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</si>
  <si>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</si>
  <si>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</si>
  <si>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</si>
  <si>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</si>
  <si>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</si>
  <si>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</si>
  <si>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</si>
  <si>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</si>
  <si>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</si>
  <si>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</si>
  <si>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</si>
  <si>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</si>
  <si>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</si>
  <si>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</si>
  <si>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</si>
  <si>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</si>
  <si>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</si>
  <si>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</si>
  <si>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</si>
  <si>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</si>
  <si>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</si>
  <si>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</si>
  <si>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</si>
  <si>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</si>
  <si>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</si>
  <si>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</si>
  <si>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</si>
  <si>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</si>
  <si>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</si>
  <si>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</si>
  <si>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</si>
  <si>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</si>
  <si>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</si>
  <si>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</si>
  <si>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</si>
  <si>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</si>
  <si>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</si>
  <si>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</si>
  <si>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</si>
  <si>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</si>
  <si>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</si>
  <si>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</si>
  <si>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</si>
  <si>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</si>
  <si>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</si>
  <si>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</si>
  <si>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</si>
  <si>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</si>
  <si>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</si>
  <si>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</si>
  <si>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</si>
  <si>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</si>
  <si>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</si>
  <si>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</si>
  <si>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</si>
  <si>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</si>
  <si>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</si>
  <si>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</si>
  <si>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</si>
  <si>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</si>
  <si>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</si>
  <si>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</si>
  <si>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</si>
  <si>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</si>
  <si>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</si>
  <si>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</si>
  <si>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</si>
  <si>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</si>
  <si>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</si>
  <si>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</si>
  <si>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</si>
  <si>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</si>
  <si>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</si>
  <si>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</si>
  <si>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</si>
  <si>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</si>
  <si>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</si>
  <si>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</si>
  <si>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</si>
  <si>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</si>
  <si>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</si>
  <si>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</si>
  <si>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</si>
  <si>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</si>
  <si>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</si>
  <si>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</si>
  <si>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</si>
  <si>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</si>
  <si>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</si>
  <si>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</si>
  <si>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</si>
  <si>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</si>
  <si>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</si>
  <si>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</si>
  <si>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</si>
  <si>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</si>
  <si>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</si>
  <si>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</si>
  <si>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</si>
  <si>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</si>
  <si>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</si>
  <si>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</si>
  <si>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</si>
  <si>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</si>
  <si>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</si>
  <si>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</si>
  <si>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</si>
  <si>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</si>
  <si>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</si>
  <si>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</si>
  <si>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</si>
  <si>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</si>
  <si>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</si>
  <si>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</si>
  <si>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</si>
  <si>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</si>
  <si>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</si>
  <si>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</si>
  <si>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</si>
  <si>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</si>
  <si>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</si>
  <si>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</si>
  <si>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</si>
  <si>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</si>
  <si>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</si>
  <si>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</si>
  <si>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</si>
  <si>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</si>
  <si>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</si>
  <si>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</si>
  <si>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</si>
  <si>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</si>
  <si>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</si>
  <si>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</si>
  <si>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</si>
  <si>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</si>
  <si>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</si>
  <si>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</si>
  <si>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</si>
  <si>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</si>
  <si>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</si>
  <si>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</si>
  <si>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</si>
  <si>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</si>
  <si>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</si>
  <si>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</si>
  <si>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</si>
  <si>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</si>
  <si>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</si>
  <si>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</si>
  <si>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</si>
  <si>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</si>
  <si>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</si>
  <si>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</si>
  <si>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</si>
  <si>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</si>
  <si>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</si>
  <si>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</si>
  <si>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</si>
  <si>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</si>
  <si>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</si>
  <si>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</si>
  <si>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</si>
  <si>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</si>
  <si>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</si>
  <si>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</si>
  <si>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</si>
  <si>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</si>
  <si>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</si>
  <si>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</si>
  <si>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r>
      <rPr>
        <b/>
        <sz val="11"/>
        <color theme="1"/>
        <rFont val="Calibri"/>
        <family val="2"/>
        <scheme val="minor"/>
      </rPr>
      <t>Emissions accounting:</t>
    </r>
    <r>
      <rPr>
        <sz val="11"/>
        <color theme="1"/>
        <rFont val="Calibri"/>
        <family val="2"/>
        <scheme val="minor"/>
      </rPr>
      <t xml:space="preserve"> Fuel-cycle emissions (well-to-wheel) + Vehicle-cycle emissions (from production and manufacturing)</t>
    </r>
  </si>
  <si>
    <r>
      <rPr>
        <b/>
        <sz val="11"/>
        <color theme="1"/>
        <rFont val="Calibri"/>
        <family val="2"/>
        <scheme val="minor"/>
      </rPr>
      <t>H2 production representation: E</t>
    </r>
    <r>
      <rPr>
        <sz val="11"/>
        <color theme="1"/>
        <rFont val="Calibri"/>
        <family val="2"/>
        <scheme val="minor"/>
      </rPr>
      <t>ndogenous SMR w/ and w/o CCS and ALK and PEM electrolysis</t>
    </r>
  </si>
  <si>
    <r>
      <rPr>
        <b/>
        <sz val="12"/>
        <color theme="1"/>
        <rFont val="Calibri"/>
        <family val="2"/>
        <scheme val="minor"/>
      </rPr>
      <t>Last update:</t>
    </r>
    <r>
      <rPr>
        <sz val="12"/>
        <color theme="1"/>
        <rFont val="Calibri"/>
        <family val="2"/>
        <scheme val="minor"/>
      </rPr>
      <t xml:space="preserve"> June 2025</t>
    </r>
  </si>
  <si>
    <t>Vanilla Model (w/reduced avg. usage intensity of emerging powertrains in trucks)</t>
  </si>
  <si>
    <t>Modified UF factor - based on reduced usage intensity of emerging powertrains from Zhao et al. 2024</t>
  </si>
  <si>
    <t>Electric</t>
  </si>
  <si>
    <t>BEV reduction</t>
  </si>
  <si>
    <t>FCEV reduction (assumed)</t>
  </si>
  <si>
    <t>Fleet</t>
  </si>
  <si>
    <t>Percentile</t>
  </si>
  <si>
    <t>Mileage (km)</t>
  </si>
  <si>
    <t>ET</t>
  </si>
  <si>
    <t>HD semi-trailer</t>
  </si>
  <si>
    <t>DT</t>
  </si>
  <si>
    <t>LD delivery truck</t>
  </si>
  <si>
    <t>MD box truck</t>
  </si>
  <si>
    <t>Zhao et al. 2024 - daily driving distance distribution of diesel and electric trucks (n = 61,598 electric trucks)</t>
  </si>
  <si>
    <t>Discrete average</t>
  </si>
  <si>
    <t>Avg. daily usage (km)</t>
  </si>
  <si>
    <t>Scaling factor</t>
  </si>
  <si>
    <t>Assumes lower usage intensity in electric powertrains based on empirical data from electric trucks (Zhao et al. 2024). First period is the ratio of the 2021 vehicle class reported activity over the activity the 2021 stock can deliver based on the CapacityToActivity factors. Subsequent periods are based on the average historical ratio between 2015-2019.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</si>
</sst>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7">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6">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169" fontId="2" fillId="0" borderId="2" xfId="0" applyNumberFormat="1" applyFont="1" applyBorder="1"/>
    <xf numFmtId="0" fontId="2" fillId="0" borderId="76" xfId="0" applyFont="1" applyBorder="1"/>
    <xf numFmtId="169" fontId="0" fillId="0" borderId="30" xfId="0" applyNumberFormat="1" applyBorder="1"/>
    <xf numFmtId="0" fontId="0" fillId="0" borderId="2" xfId="0" applyFont="1" applyBorder="1"/>
    <xf numFmtId="9" fontId="0" fillId="0" borderId="0" xfId="3" applyNumberFormat="1" applyFont="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CapFactor!$S$13:$AN$13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CapFactor!$S$14:$AN$14</c:f>
              <c:numCache>
                <c:formatCode>0.0%</c:formatCode>
                <c:ptCount val="22"/>
                <c:pt idx="0">
                  <c:v>3.2344641455905251E-2</c:v>
                </c:pt>
                <c:pt idx="1">
                  <c:v>3.1053866784300416E-2</c:v>
                </c:pt>
                <c:pt idx="2">
                  <c:v>3.2578498571603234E-2</c:v>
                </c:pt>
                <c:pt idx="3">
                  <c:v>3.2538768141112021E-2</c:v>
                </c:pt>
                <c:pt idx="4">
                  <c:v>3.264464048866033E-2</c:v>
                </c:pt>
                <c:pt idx="5">
                  <c:v>3.3091951841164743E-2</c:v>
                </c:pt>
                <c:pt idx="6">
                  <c:v>3.2283970632783335E-2</c:v>
                </c:pt>
                <c:pt idx="7">
                  <c:v>3.2339642376463792E-2</c:v>
                </c:pt>
                <c:pt idx="8">
                  <c:v>3.1680511311296969E-2</c:v>
                </c:pt>
                <c:pt idx="9">
                  <c:v>3.2532432107723434E-2</c:v>
                </c:pt>
                <c:pt idx="10">
                  <c:v>3.2844567065277927E-2</c:v>
                </c:pt>
                <c:pt idx="11">
                  <c:v>3.2220895183784362E-2</c:v>
                </c:pt>
                <c:pt idx="12">
                  <c:v>3.0182980822698366E-2</c:v>
                </c:pt>
                <c:pt idx="13">
                  <c:v>3.1109987031755638E-2</c:v>
                </c:pt>
                <c:pt idx="14">
                  <c:v>2.9214497755787192E-2</c:v>
                </c:pt>
                <c:pt idx="15">
                  <c:v>2.8547056072091306E-2</c:v>
                </c:pt>
                <c:pt idx="16">
                  <c:v>2.7740761522067354E-2</c:v>
                </c:pt>
                <c:pt idx="17">
                  <c:v>2.6341252191109745E-2</c:v>
                </c:pt>
                <c:pt idx="18">
                  <c:v>2.5684479099081194E-2</c:v>
                </c:pt>
                <c:pt idx="19">
                  <c:v>2.6495047866549024E-2</c:v>
                </c:pt>
                <c:pt idx="20">
                  <c:v>2.1024710993844904E-2</c:v>
                </c:pt>
                <c:pt idx="21">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CapFactor!$S$13:$AN$13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CapFactor!$S$15:$AN$15</c:f>
              <c:numCache>
                <c:formatCode>0.0%</c:formatCode>
                <c:ptCount val="22"/>
                <c:pt idx="0">
                  <c:v>3.4571858626768925E-2</c:v>
                </c:pt>
                <c:pt idx="1">
                  <c:v>3.3331462439774681E-2</c:v>
                </c:pt>
                <c:pt idx="2">
                  <c:v>3.4808917490509621E-2</c:v>
                </c:pt>
                <c:pt idx="3">
                  <c:v>3.4676535147371665E-2</c:v>
                </c:pt>
                <c:pt idx="4">
                  <c:v>3.4888728946858551E-2</c:v>
                </c:pt>
                <c:pt idx="5">
                  <c:v>3.5452165670563481E-2</c:v>
                </c:pt>
                <c:pt idx="6">
                  <c:v>3.461712949639946E-2</c:v>
                </c:pt>
                <c:pt idx="7">
                  <c:v>3.4618994202411997E-2</c:v>
                </c:pt>
                <c:pt idx="8">
                  <c:v>3.3862308793488331E-2</c:v>
                </c:pt>
                <c:pt idx="9">
                  <c:v>3.4805427253057929E-2</c:v>
                </c:pt>
                <c:pt idx="10">
                  <c:v>3.5367126614479168E-2</c:v>
                </c:pt>
                <c:pt idx="11">
                  <c:v>3.4924048952178176E-2</c:v>
                </c:pt>
                <c:pt idx="12">
                  <c:v>3.2606861008902352E-2</c:v>
                </c:pt>
                <c:pt idx="13">
                  <c:v>3.3859710051605527E-2</c:v>
                </c:pt>
                <c:pt idx="14">
                  <c:v>3.1930848492738043E-2</c:v>
                </c:pt>
                <c:pt idx="15">
                  <c:v>3.139260353733396E-2</c:v>
                </c:pt>
                <c:pt idx="16">
                  <c:v>3.0839517973884682E-2</c:v>
                </c:pt>
                <c:pt idx="17">
                  <c:v>2.9547100963760526E-2</c:v>
                </c:pt>
                <c:pt idx="18">
                  <c:v>2.9130318639308584E-2</c:v>
                </c:pt>
                <c:pt idx="19">
                  <c:v>3.0043278510270104E-2</c:v>
                </c:pt>
                <c:pt idx="20">
                  <c:v>2.3925592614651721E-2</c:v>
                </c:pt>
                <c:pt idx="21">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CapFactor!$S$13:$AN$13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CapFactor!$S$16:$AN$16</c:f>
              <c:numCache>
                <c:formatCode>0.0%</c:formatCode>
                <c:ptCount val="22"/>
                <c:pt idx="0">
                  <c:v>3.6410935210463929E-2</c:v>
                </c:pt>
                <c:pt idx="1">
                  <c:v>3.9172461900047105E-2</c:v>
                </c:pt>
                <c:pt idx="2">
                  <c:v>3.6749746076290959E-2</c:v>
                </c:pt>
                <c:pt idx="3">
                  <c:v>4.2012266409615057E-2</c:v>
                </c:pt>
                <c:pt idx="4">
                  <c:v>3.7878381407843845E-2</c:v>
                </c:pt>
                <c:pt idx="5">
                  <c:v>3.2192589316321102E-2</c:v>
                </c:pt>
                <c:pt idx="6">
                  <c:v>3.6849534233957634E-2</c:v>
                </c:pt>
                <c:pt idx="7">
                  <c:v>3.7456593710628434E-2</c:v>
                </c:pt>
                <c:pt idx="8">
                  <c:v>3.3475345080742389E-2</c:v>
                </c:pt>
                <c:pt idx="9">
                  <c:v>3.2518665325602623E-2</c:v>
                </c:pt>
                <c:pt idx="10">
                  <c:v>3.4757731982942429E-2</c:v>
                </c:pt>
                <c:pt idx="11">
                  <c:v>3.4028357218844035E-2</c:v>
                </c:pt>
                <c:pt idx="12">
                  <c:v>3.1190170171146066E-2</c:v>
                </c:pt>
                <c:pt idx="13">
                  <c:v>3.0374667115043812E-2</c:v>
                </c:pt>
                <c:pt idx="14">
                  <c:v>2.9060134944391296E-2</c:v>
                </c:pt>
                <c:pt idx="15">
                  <c:v>2.7547483343615918E-2</c:v>
                </c:pt>
                <c:pt idx="16">
                  <c:v>2.5952827158539301E-2</c:v>
                </c:pt>
                <c:pt idx="17">
                  <c:v>2.5891533653123917E-2</c:v>
                </c:pt>
                <c:pt idx="18">
                  <c:v>2.6799833667747207E-2</c:v>
                </c:pt>
                <c:pt idx="19">
                  <c:v>2.6679927463137344E-2</c:v>
                </c:pt>
                <c:pt idx="20">
                  <c:v>2.2051014964966267E-2</c:v>
                </c:pt>
                <c:pt idx="21">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276227</xdr:colOff>
      <xdr:row>16</xdr:row>
      <xdr:rowOff>157162</xdr:rowOff>
    </xdr:from>
    <xdr:to>
      <xdr:col>31</xdr:col>
      <xdr:colOff>276225</xdr:colOff>
      <xdr:row>38</xdr:row>
      <xdr:rowOff>76201</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doi.org/10.1038/s41560-024-01602-x"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5" workbookViewId="0">
      <selection activeCell="K34" sqref="K34"/>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2947</v>
      </c>
    </row>
    <row r="2" spans="3:3" ht="23.25" x14ac:dyDescent="0.35">
      <c r="C2" s="580" t="s">
        <v>2164</v>
      </c>
    </row>
    <row r="3" spans="3:3" ht="21" x14ac:dyDescent="0.35">
      <c r="C3" s="581" t="s">
        <v>4254</v>
      </c>
    </row>
    <row r="4" spans="3:3" ht="18.75" x14ac:dyDescent="0.3">
      <c r="C4" s="582" t="s">
        <v>2163</v>
      </c>
    </row>
    <row r="5" spans="3:3" x14ac:dyDescent="0.25">
      <c r="C5" s="583"/>
    </row>
    <row r="6" spans="3:3" ht="15.75" x14ac:dyDescent="0.25">
      <c r="C6" s="584" t="s">
        <v>2165</v>
      </c>
    </row>
    <row r="7" spans="3:3" ht="15.75" x14ac:dyDescent="0.25">
      <c r="C7" s="585" t="s">
        <v>2166</v>
      </c>
    </row>
    <row r="8" spans="3:3" ht="15.75" x14ac:dyDescent="0.25">
      <c r="C8" s="585" t="s">
        <v>2167</v>
      </c>
    </row>
    <row r="9" spans="3:3" x14ac:dyDescent="0.25">
      <c r="C9" s="583"/>
    </row>
    <row r="10" spans="3:3" ht="15.75" x14ac:dyDescent="0.25">
      <c r="C10" s="585" t="s">
        <v>2168</v>
      </c>
    </row>
    <row r="11" spans="3:3" ht="15.75" x14ac:dyDescent="0.25">
      <c r="C11" s="585" t="s">
        <v>2169</v>
      </c>
    </row>
    <row r="12" spans="3:3" ht="15.75" x14ac:dyDescent="0.25">
      <c r="C12" s="585" t="s">
        <v>4887</v>
      </c>
    </row>
    <row r="13" spans="3:3" ht="15.75" x14ac:dyDescent="0.25">
      <c r="C13" s="585"/>
    </row>
    <row r="14" spans="3:3" ht="15.75" x14ac:dyDescent="0.25">
      <c r="C14" s="585" t="s">
        <v>2170</v>
      </c>
    </row>
    <row r="15" spans="3:3" ht="15.75" x14ac:dyDescent="0.25">
      <c r="C15" s="585" t="s">
        <v>4277</v>
      </c>
    </row>
    <row r="16" spans="3:3" x14ac:dyDescent="0.25">
      <c r="C16" s="579" t="s">
        <v>2947</v>
      </c>
    </row>
    <row r="17" spans="1:3" ht="18.75" x14ac:dyDescent="0.3">
      <c r="C17" s="586" t="s">
        <v>4888</v>
      </c>
    </row>
    <row r="18" spans="1:3" x14ac:dyDescent="0.25">
      <c r="C18" s="579" t="s">
        <v>4275</v>
      </c>
    </row>
    <row r="19" spans="1:3" x14ac:dyDescent="0.25">
      <c r="C19" s="579" t="s">
        <v>4276</v>
      </c>
    </row>
    <row r="20" spans="1:3" x14ac:dyDescent="0.25">
      <c r="C20" s="579" t="s">
        <v>4885</v>
      </c>
    </row>
    <row r="21" spans="1:3" x14ac:dyDescent="0.25">
      <c r="C21" s="579" t="s">
        <v>2946</v>
      </c>
    </row>
    <row r="22" spans="1:3" x14ac:dyDescent="0.25">
      <c r="C22" s="579" t="s">
        <v>4886</v>
      </c>
    </row>
    <row r="23" spans="1:3" x14ac:dyDescent="0.25">
      <c r="C23" s="587" t="s">
        <v>4274</v>
      </c>
    </row>
    <row r="24" spans="1:3" x14ac:dyDescent="0.25">
      <c r="C24" s="579" t="s">
        <v>2947</v>
      </c>
    </row>
    <row r="25" spans="1:3" ht="18.75" x14ac:dyDescent="0.3">
      <c r="C25" s="586" t="s">
        <v>2171</v>
      </c>
    </row>
    <row r="26" spans="1:3" ht="90" x14ac:dyDescent="0.25">
      <c r="C26" s="588" t="s">
        <v>2703</v>
      </c>
    </row>
    <row r="27" spans="1:3" x14ac:dyDescent="0.25">
      <c r="C27" s="588"/>
    </row>
    <row r="28" spans="1:3" ht="18.75" x14ac:dyDescent="0.3">
      <c r="C28" s="586" t="s">
        <v>2704</v>
      </c>
    </row>
    <row r="29" spans="1:3" x14ac:dyDescent="0.25">
      <c r="A29" s="587" t="s">
        <v>2705</v>
      </c>
      <c r="C29" s="756" t="s">
        <v>0</v>
      </c>
    </row>
    <row r="30" spans="1:3" x14ac:dyDescent="0.25">
      <c r="A30" s="283"/>
      <c r="C30" s="579" t="s">
        <v>2706</v>
      </c>
    </row>
    <row r="31" spans="1:3" x14ac:dyDescent="0.25">
      <c r="A31" s="74"/>
      <c r="C31" s="579" t="s">
        <v>2707</v>
      </c>
    </row>
    <row r="32" spans="1:3" x14ac:dyDescent="0.25">
      <c r="A32" s="757"/>
      <c r="C32" s="579" t="s">
        <v>2708</v>
      </c>
    </row>
    <row r="34" spans="1:3" ht="18.75" x14ac:dyDescent="0.3">
      <c r="C34" s="586" t="s">
        <v>2702</v>
      </c>
    </row>
    <row r="35" spans="1:3" x14ac:dyDescent="0.25">
      <c r="A35" s="587" t="s">
        <v>2172</v>
      </c>
      <c r="C35" s="587" t="s">
        <v>0</v>
      </c>
    </row>
    <row r="36" spans="1:3" x14ac:dyDescent="0.25">
      <c r="A36" s="590"/>
      <c r="C36" s="579" t="s">
        <v>2173</v>
      </c>
    </row>
    <row r="37" spans="1:3" x14ac:dyDescent="0.25">
      <c r="A37" s="575"/>
      <c r="C37" s="579" t="s">
        <v>2175</v>
      </c>
    </row>
    <row r="38" spans="1:3" x14ac:dyDescent="0.25">
      <c r="A38" s="578"/>
      <c r="C38" s="579" t="s">
        <v>2176</v>
      </c>
    </row>
    <row r="39" spans="1:3" x14ac:dyDescent="0.25">
      <c r="A39" s="577"/>
      <c r="C39" s="579" t="s">
        <v>2174</v>
      </c>
    </row>
    <row r="40" spans="1:3" x14ac:dyDescent="0.25">
      <c r="A40" s="589"/>
      <c r="C40" s="579" t="s">
        <v>2177</v>
      </c>
    </row>
    <row r="41" spans="1:3" x14ac:dyDescent="0.25">
      <c r="A41" s="591"/>
      <c r="C41" s="579" t="s">
        <v>2611</v>
      </c>
    </row>
    <row r="42" spans="1:3" x14ac:dyDescent="0.25">
      <c r="A42" s="592"/>
      <c r="C42" s="579" t="s">
        <v>2178</v>
      </c>
    </row>
    <row r="44" spans="1:3" ht="18.75" x14ac:dyDescent="0.3">
      <c r="C44" s="586" t="s">
        <v>4280</v>
      </c>
    </row>
    <row r="45" spans="1:3" x14ac:dyDescent="0.25">
      <c r="C45" s="579" t="s">
        <v>4286</v>
      </c>
    </row>
    <row r="47" spans="1:3" x14ac:dyDescent="0.25">
      <c r="C47" s="579" t="s">
        <v>4281</v>
      </c>
    </row>
    <row r="48" spans="1:3" x14ac:dyDescent="0.25">
      <c r="C48" s="579" t="s">
        <v>4282</v>
      </c>
    </row>
    <row r="49" spans="3:3" x14ac:dyDescent="0.25">
      <c r="C49" s="579" t="s">
        <v>4283</v>
      </c>
    </row>
    <row r="50" spans="3:3" x14ac:dyDescent="0.25">
      <c r="C50" s="579" t="s">
        <v>4284</v>
      </c>
    </row>
    <row r="51" spans="3:3" x14ac:dyDescent="0.25">
      <c r="C51" s="579" t="s">
        <v>4285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opLeftCell="A18" workbookViewId="0">
      <selection activeCell="A39" activeCellId="1" sqref="A41:A44 A39:A4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4432</v>
      </c>
      <c r="B2" t="s">
        <v>447</v>
      </c>
      <c r="C2" t="s">
        <v>2</v>
      </c>
      <c r="D2" t="s">
        <v>4401</v>
      </c>
      <c r="E2" t="s">
        <v>17</v>
      </c>
    </row>
    <row r="3" spans="1:5" x14ac:dyDescent="0.25">
      <c r="A3" t="s">
        <v>4433</v>
      </c>
      <c r="B3" t="s">
        <v>447</v>
      </c>
      <c r="C3" t="s">
        <v>3</v>
      </c>
      <c r="D3" t="s">
        <v>4401</v>
      </c>
      <c r="E3" t="s">
        <v>17</v>
      </c>
    </row>
    <row r="4" spans="1:5" x14ac:dyDescent="0.25">
      <c r="A4" t="s">
        <v>4434</v>
      </c>
      <c r="B4" t="s">
        <v>447</v>
      </c>
      <c r="C4" t="s">
        <v>1948</v>
      </c>
      <c r="D4" t="s">
        <v>4401</v>
      </c>
      <c r="E4" t="s">
        <v>17</v>
      </c>
    </row>
    <row r="5" spans="1:5" x14ac:dyDescent="0.25">
      <c r="A5" t="s">
        <v>4435</v>
      </c>
      <c r="B5" t="s">
        <v>447</v>
      </c>
      <c r="C5" t="s">
        <v>501</v>
      </c>
      <c r="D5" t="s">
        <v>4402</v>
      </c>
      <c r="E5" t="s">
        <v>17</v>
      </c>
    </row>
    <row r="6" spans="1:5" x14ac:dyDescent="0.25">
      <c r="A6" t="s">
        <v>4436</v>
      </c>
      <c r="B6" t="s">
        <v>447</v>
      </c>
      <c r="C6" t="s">
        <v>502</v>
      </c>
      <c r="D6" t="s">
        <v>4402</v>
      </c>
      <c r="E6" t="s">
        <v>17</v>
      </c>
    </row>
    <row r="7" spans="1:5" x14ac:dyDescent="0.25">
      <c r="A7" t="s">
        <v>4437</v>
      </c>
      <c r="B7" t="s">
        <v>447</v>
      </c>
      <c r="C7" t="s">
        <v>4</v>
      </c>
      <c r="D7" t="s">
        <v>4403</v>
      </c>
      <c r="E7" t="s">
        <v>1474</v>
      </c>
    </row>
    <row r="8" spans="1:5" x14ac:dyDescent="0.25">
      <c r="A8" t="s">
        <v>4438</v>
      </c>
      <c r="B8" t="s">
        <v>447</v>
      </c>
      <c r="C8" t="s">
        <v>5</v>
      </c>
      <c r="D8" t="s">
        <v>4403</v>
      </c>
      <c r="E8" t="s">
        <v>1474</v>
      </c>
    </row>
    <row r="9" spans="1:5" x14ac:dyDescent="0.25">
      <c r="A9" t="s">
        <v>4439</v>
      </c>
      <c r="B9" t="s">
        <v>447</v>
      </c>
      <c r="C9" t="s">
        <v>4394</v>
      </c>
      <c r="D9" t="s">
        <v>4403</v>
      </c>
      <c r="E9" t="s">
        <v>1474</v>
      </c>
    </row>
    <row r="10" spans="1:5" x14ac:dyDescent="0.25">
      <c r="A10" t="s">
        <v>4440</v>
      </c>
      <c r="B10" t="s">
        <v>447</v>
      </c>
      <c r="C10" t="s">
        <v>500</v>
      </c>
      <c r="D10" t="s">
        <v>4404</v>
      </c>
      <c r="E10" t="s">
        <v>1474</v>
      </c>
    </row>
    <row r="11" spans="1:5" x14ac:dyDescent="0.25">
      <c r="A11" t="s">
        <v>4441</v>
      </c>
      <c r="B11" t="s">
        <v>447</v>
      </c>
      <c r="C11" t="s">
        <v>499</v>
      </c>
      <c r="D11" t="s">
        <v>4404</v>
      </c>
      <c r="E11" t="s">
        <v>1474</v>
      </c>
    </row>
    <row r="12" spans="1:5" x14ac:dyDescent="0.25">
      <c r="A12" t="s">
        <v>4442</v>
      </c>
      <c r="B12" t="s">
        <v>447</v>
      </c>
      <c r="C12" t="s">
        <v>6</v>
      </c>
      <c r="D12" t="s">
        <v>4405</v>
      </c>
      <c r="E12" t="s">
        <v>1474</v>
      </c>
    </row>
    <row r="13" spans="1:5" x14ac:dyDescent="0.25">
      <c r="A13" t="s">
        <v>4443</v>
      </c>
      <c r="B13" t="s">
        <v>447</v>
      </c>
      <c r="C13" t="s">
        <v>7</v>
      </c>
      <c r="D13" t="s">
        <v>4405</v>
      </c>
      <c r="E13" t="s">
        <v>1474</v>
      </c>
    </row>
    <row r="14" spans="1:5" x14ac:dyDescent="0.25">
      <c r="A14" t="s">
        <v>4444</v>
      </c>
      <c r="B14" t="s">
        <v>447</v>
      </c>
      <c r="C14" t="s">
        <v>498</v>
      </c>
      <c r="D14" t="s">
        <v>4406</v>
      </c>
      <c r="E14" t="s">
        <v>1474</v>
      </c>
    </row>
    <row r="15" spans="1:5" x14ac:dyDescent="0.25">
      <c r="A15" t="s">
        <v>4445</v>
      </c>
      <c r="B15" t="s">
        <v>447</v>
      </c>
      <c r="C15" t="s">
        <v>497</v>
      </c>
      <c r="D15" t="s">
        <v>4406</v>
      </c>
      <c r="E15" t="s">
        <v>1474</v>
      </c>
    </row>
    <row r="16" spans="1:5" x14ac:dyDescent="0.25">
      <c r="A16" t="s">
        <v>4446</v>
      </c>
      <c r="B16" t="s">
        <v>447</v>
      </c>
      <c r="C16" t="s">
        <v>186</v>
      </c>
      <c r="D16" t="s">
        <v>4407</v>
      </c>
      <c r="E16" t="s">
        <v>1481</v>
      </c>
    </row>
    <row r="17" spans="1:5" x14ac:dyDescent="0.25">
      <c r="A17" t="s">
        <v>4447</v>
      </c>
      <c r="B17" t="s">
        <v>447</v>
      </c>
      <c r="C17" t="s">
        <v>187</v>
      </c>
      <c r="D17" t="s">
        <v>4407</v>
      </c>
      <c r="E17" t="s">
        <v>1481</v>
      </c>
    </row>
    <row r="18" spans="1:5" x14ac:dyDescent="0.25">
      <c r="A18" t="s">
        <v>4448</v>
      </c>
      <c r="B18" t="s">
        <v>447</v>
      </c>
      <c r="C18" t="s">
        <v>188</v>
      </c>
      <c r="D18" t="s">
        <v>4408</v>
      </c>
      <c r="E18" t="s">
        <v>41</v>
      </c>
    </row>
    <row r="19" spans="1:5" x14ac:dyDescent="0.25">
      <c r="A19" t="s">
        <v>4449</v>
      </c>
      <c r="B19" t="s">
        <v>447</v>
      </c>
      <c r="C19" t="s">
        <v>196</v>
      </c>
      <c r="D19" t="s">
        <v>4409</v>
      </c>
      <c r="E19" t="s">
        <v>46</v>
      </c>
    </row>
    <row r="20" spans="1:5" x14ac:dyDescent="0.25">
      <c r="A20" t="s">
        <v>4450</v>
      </c>
      <c r="B20" t="s">
        <v>447</v>
      </c>
      <c r="C20" t="s">
        <v>406</v>
      </c>
      <c r="D20" t="s">
        <v>4410</v>
      </c>
      <c r="E20" t="s">
        <v>1528</v>
      </c>
    </row>
    <row r="21" spans="1:5" x14ac:dyDescent="0.25">
      <c r="A21" t="s">
        <v>4451</v>
      </c>
      <c r="B21" t="s">
        <v>447</v>
      </c>
      <c r="C21" t="s">
        <v>407</v>
      </c>
      <c r="D21" t="s">
        <v>4410</v>
      </c>
      <c r="E21" t="s">
        <v>1528</v>
      </c>
    </row>
    <row r="22" spans="1:5" x14ac:dyDescent="0.25">
      <c r="A22" t="s">
        <v>4452</v>
      </c>
      <c r="B22" t="s">
        <v>447</v>
      </c>
      <c r="C22" t="s">
        <v>408</v>
      </c>
      <c r="D22" t="s">
        <v>4410</v>
      </c>
      <c r="E22" t="s">
        <v>1528</v>
      </c>
    </row>
    <row r="23" spans="1:5" x14ac:dyDescent="0.25">
      <c r="A23" t="s">
        <v>4453</v>
      </c>
      <c r="B23" t="s">
        <v>447</v>
      </c>
      <c r="C23" t="s">
        <v>409</v>
      </c>
      <c r="D23" t="s">
        <v>4411</v>
      </c>
      <c r="E23" t="s">
        <v>1528</v>
      </c>
    </row>
    <row r="24" spans="1:5" x14ac:dyDescent="0.25">
      <c r="A24" t="s">
        <v>4454</v>
      </c>
      <c r="B24" t="s">
        <v>447</v>
      </c>
      <c r="C24" t="s">
        <v>410</v>
      </c>
      <c r="D24" t="s">
        <v>4411</v>
      </c>
      <c r="E24" t="s">
        <v>1528</v>
      </c>
    </row>
    <row r="25" spans="1:5" x14ac:dyDescent="0.25">
      <c r="A25" t="s">
        <v>4455</v>
      </c>
      <c r="B25" t="s">
        <v>447</v>
      </c>
      <c r="C25" t="s">
        <v>411</v>
      </c>
      <c r="D25" t="s">
        <v>4411</v>
      </c>
      <c r="E25" t="s">
        <v>1528</v>
      </c>
    </row>
    <row r="26" spans="1:5" x14ac:dyDescent="0.25">
      <c r="A26" t="s">
        <v>4456</v>
      </c>
      <c r="B26" t="s">
        <v>447</v>
      </c>
      <c r="C26" t="s">
        <v>1793</v>
      </c>
      <c r="D26" t="s">
        <v>4412</v>
      </c>
      <c r="E26" t="s">
        <v>1528</v>
      </c>
    </row>
    <row r="27" spans="1:5" x14ac:dyDescent="0.25">
      <c r="A27" t="s">
        <v>4457</v>
      </c>
      <c r="B27" t="s">
        <v>447</v>
      </c>
      <c r="C27" t="s">
        <v>412</v>
      </c>
      <c r="D27" t="s">
        <v>4413</v>
      </c>
      <c r="E27" t="s">
        <v>1528</v>
      </c>
    </row>
    <row r="28" spans="1:5" x14ac:dyDescent="0.25">
      <c r="A28" t="s">
        <v>4458</v>
      </c>
      <c r="B28" t="s">
        <v>447</v>
      </c>
      <c r="C28" t="s">
        <v>413</v>
      </c>
      <c r="D28" t="s">
        <v>4413</v>
      </c>
      <c r="E28" t="s">
        <v>1528</v>
      </c>
    </row>
    <row r="29" spans="1:5" x14ac:dyDescent="0.25">
      <c r="A29" t="s">
        <v>4459</v>
      </c>
      <c r="B29" t="s">
        <v>447</v>
      </c>
      <c r="C29" t="s">
        <v>414</v>
      </c>
      <c r="D29" t="s">
        <v>4414</v>
      </c>
      <c r="E29" t="s">
        <v>2017</v>
      </c>
    </row>
    <row r="30" spans="1:5" x14ac:dyDescent="0.25">
      <c r="A30" t="s">
        <v>4460</v>
      </c>
      <c r="B30" t="s">
        <v>447</v>
      </c>
      <c r="C30" t="s">
        <v>415</v>
      </c>
      <c r="D30" t="s">
        <v>4415</v>
      </c>
      <c r="E30" t="s">
        <v>1672</v>
      </c>
    </row>
    <row r="31" spans="1:5" x14ac:dyDescent="0.25">
      <c r="A31" t="s">
        <v>4487</v>
      </c>
      <c r="B31" t="s">
        <v>447</v>
      </c>
      <c r="C31" t="s">
        <v>416</v>
      </c>
      <c r="D31" t="s">
        <v>4416</v>
      </c>
      <c r="E31" t="s">
        <v>2018</v>
      </c>
    </row>
    <row r="32" spans="1:5" x14ac:dyDescent="0.25">
      <c r="A32" t="s">
        <v>4488</v>
      </c>
      <c r="B32" t="s">
        <v>447</v>
      </c>
      <c r="C32" t="s">
        <v>417</v>
      </c>
      <c r="D32" t="s">
        <v>4417</v>
      </c>
      <c r="E32" t="s">
        <v>2019</v>
      </c>
    </row>
    <row r="33" spans="1:5" x14ac:dyDescent="0.25">
      <c r="A33" t="s">
        <v>4461</v>
      </c>
      <c r="B33" t="s">
        <v>447</v>
      </c>
      <c r="C33" t="s">
        <v>419</v>
      </c>
      <c r="D33" t="s">
        <v>4418</v>
      </c>
      <c r="E33" t="s">
        <v>1214</v>
      </c>
    </row>
    <row r="34" spans="1:5" s="202" customFormat="1" x14ac:dyDescent="0.25">
      <c r="A34" s="202" t="s">
        <v>4462</v>
      </c>
      <c r="B34" s="202" t="s">
        <v>447</v>
      </c>
      <c r="C34" s="202" t="s">
        <v>418</v>
      </c>
      <c r="D34" s="202" t="s">
        <v>4418</v>
      </c>
      <c r="E34" s="202" t="s">
        <v>1214</v>
      </c>
    </row>
    <row r="35" spans="1:5" x14ac:dyDescent="0.25">
      <c r="A35" t="s">
        <v>1004</v>
      </c>
      <c r="B35" t="s">
        <v>447</v>
      </c>
      <c r="C35" t="s">
        <v>1706</v>
      </c>
      <c r="D35" t="s">
        <v>4401</v>
      </c>
      <c r="E35" t="s">
        <v>17</v>
      </c>
    </row>
    <row r="36" spans="1:5" x14ac:dyDescent="0.25">
      <c r="A36" t="s">
        <v>1005</v>
      </c>
      <c r="B36" t="s">
        <v>447</v>
      </c>
      <c r="C36" t="s">
        <v>1720</v>
      </c>
      <c r="D36" t="s">
        <v>4401</v>
      </c>
      <c r="E36" t="s">
        <v>17</v>
      </c>
    </row>
    <row r="37" spans="1:5" x14ac:dyDescent="0.25">
      <c r="A37" t="s">
        <v>1006</v>
      </c>
      <c r="B37" t="s">
        <v>447</v>
      </c>
      <c r="C37" t="s">
        <v>1727</v>
      </c>
      <c r="D37" t="s">
        <v>4401</v>
      </c>
      <c r="E37" t="s">
        <v>17</v>
      </c>
    </row>
    <row r="38" spans="1:5" x14ac:dyDescent="0.25">
      <c r="A38" t="s">
        <v>1007</v>
      </c>
      <c r="B38" t="s">
        <v>447</v>
      </c>
      <c r="C38" t="s">
        <v>1732</v>
      </c>
      <c r="D38" t="s">
        <v>4401</v>
      </c>
      <c r="E38" t="s">
        <v>17</v>
      </c>
    </row>
    <row r="39" spans="1:5" x14ac:dyDescent="0.25">
      <c r="A39" t="s">
        <v>4390</v>
      </c>
      <c r="B39" t="s">
        <v>447</v>
      </c>
      <c r="C39" t="s">
        <v>4426</v>
      </c>
      <c r="D39" t="s">
        <v>4401</v>
      </c>
      <c r="E39" t="s">
        <v>17</v>
      </c>
    </row>
    <row r="40" spans="1:5" x14ac:dyDescent="0.25">
      <c r="A40" t="s">
        <v>1009</v>
      </c>
      <c r="B40" t="s">
        <v>447</v>
      </c>
      <c r="C40" t="s">
        <v>4427</v>
      </c>
      <c r="D40" t="s">
        <v>4401</v>
      </c>
      <c r="E40" t="s">
        <v>17</v>
      </c>
    </row>
    <row r="41" spans="1:5" x14ac:dyDescent="0.25">
      <c r="A41" t="s">
        <v>4395</v>
      </c>
      <c r="B41" t="s">
        <v>447</v>
      </c>
      <c r="C41" t="s">
        <v>4398</v>
      </c>
      <c r="D41" t="s">
        <v>4401</v>
      </c>
      <c r="E41" t="s">
        <v>17</v>
      </c>
    </row>
    <row r="42" spans="1:5" x14ac:dyDescent="0.25">
      <c r="A42" t="s">
        <v>1010</v>
      </c>
      <c r="B42" t="s">
        <v>447</v>
      </c>
      <c r="C42" t="s">
        <v>1745</v>
      </c>
      <c r="D42" t="s">
        <v>4401</v>
      </c>
      <c r="E42" t="s">
        <v>17</v>
      </c>
    </row>
    <row r="43" spans="1:5" x14ac:dyDescent="0.25">
      <c r="A43" t="s">
        <v>1011</v>
      </c>
      <c r="B43" t="s">
        <v>447</v>
      </c>
      <c r="C43" t="s">
        <v>1746</v>
      </c>
      <c r="D43" t="s">
        <v>4401</v>
      </c>
      <c r="E43" t="s">
        <v>17</v>
      </c>
    </row>
    <row r="44" spans="1:5" x14ac:dyDescent="0.25">
      <c r="A44" t="s">
        <v>1012</v>
      </c>
      <c r="B44" t="s">
        <v>447</v>
      </c>
      <c r="C44" t="s">
        <v>1748</v>
      </c>
      <c r="D44" t="s">
        <v>4401</v>
      </c>
      <c r="E44" t="s">
        <v>17</v>
      </c>
    </row>
    <row r="45" spans="1:5" x14ac:dyDescent="0.25">
      <c r="A45" t="s">
        <v>4420</v>
      </c>
      <c r="B45" t="s">
        <v>447</v>
      </c>
      <c r="C45" t="s">
        <v>1885</v>
      </c>
      <c r="D45" t="s">
        <v>4401</v>
      </c>
      <c r="E45" t="s">
        <v>17</v>
      </c>
    </row>
    <row r="46" spans="1:5" x14ac:dyDescent="0.25">
      <c r="A46" t="s">
        <v>1014</v>
      </c>
      <c r="B46" t="s">
        <v>447</v>
      </c>
      <c r="C46" t="s">
        <v>1707</v>
      </c>
      <c r="D46" t="s">
        <v>4403</v>
      </c>
      <c r="E46" t="s">
        <v>1474</v>
      </c>
    </row>
    <row r="47" spans="1:5" x14ac:dyDescent="0.25">
      <c r="A47" t="s">
        <v>1015</v>
      </c>
      <c r="B47" t="s">
        <v>447</v>
      </c>
      <c r="C47" t="s">
        <v>1721</v>
      </c>
      <c r="D47" t="s">
        <v>4403</v>
      </c>
      <c r="E47" t="s">
        <v>1474</v>
      </c>
    </row>
    <row r="48" spans="1:5" x14ac:dyDescent="0.25">
      <c r="A48" t="s">
        <v>1016</v>
      </c>
      <c r="B48" t="s">
        <v>447</v>
      </c>
      <c r="C48" t="s">
        <v>1728</v>
      </c>
      <c r="D48" t="s">
        <v>4403</v>
      </c>
      <c r="E48" t="s">
        <v>1474</v>
      </c>
    </row>
    <row r="49" spans="1:5" x14ac:dyDescent="0.25">
      <c r="A49" t="s">
        <v>1017</v>
      </c>
      <c r="B49" t="s">
        <v>447</v>
      </c>
      <c r="C49" t="s">
        <v>1733</v>
      </c>
      <c r="D49" t="s">
        <v>4403</v>
      </c>
      <c r="E49" t="s">
        <v>1474</v>
      </c>
    </row>
    <row r="50" spans="1:5" x14ac:dyDescent="0.25">
      <c r="A50" t="s">
        <v>4391</v>
      </c>
      <c r="B50" t="s">
        <v>447</v>
      </c>
      <c r="C50" t="s">
        <v>4428</v>
      </c>
      <c r="D50" t="s">
        <v>4403</v>
      </c>
      <c r="E50" t="s">
        <v>1474</v>
      </c>
    </row>
    <row r="51" spans="1:5" x14ac:dyDescent="0.25">
      <c r="A51" t="s">
        <v>1019</v>
      </c>
      <c r="B51" t="s">
        <v>447</v>
      </c>
      <c r="C51" t="s">
        <v>4429</v>
      </c>
      <c r="D51" t="s">
        <v>4403</v>
      </c>
      <c r="E51" t="s">
        <v>1474</v>
      </c>
    </row>
    <row r="52" spans="1:5" x14ac:dyDescent="0.25">
      <c r="A52" t="s">
        <v>4396</v>
      </c>
      <c r="B52" t="s">
        <v>447</v>
      </c>
      <c r="C52" t="s">
        <v>4399</v>
      </c>
      <c r="D52" t="s">
        <v>4403</v>
      </c>
      <c r="E52" t="s">
        <v>1474</v>
      </c>
    </row>
    <row r="53" spans="1:5" x14ac:dyDescent="0.25">
      <c r="A53" t="s">
        <v>1020</v>
      </c>
      <c r="B53" t="s">
        <v>447</v>
      </c>
      <c r="C53" t="s">
        <v>1743</v>
      </c>
      <c r="D53" t="s">
        <v>4403</v>
      </c>
      <c r="E53" t="s">
        <v>1474</v>
      </c>
    </row>
    <row r="54" spans="1:5" x14ac:dyDescent="0.25">
      <c r="A54" t="s">
        <v>1021</v>
      </c>
      <c r="B54" t="s">
        <v>447</v>
      </c>
      <c r="C54" t="s">
        <v>1749</v>
      </c>
      <c r="D54" t="s">
        <v>4403</v>
      </c>
      <c r="E54" t="s">
        <v>1474</v>
      </c>
    </row>
    <row r="55" spans="1:5" x14ac:dyDescent="0.25">
      <c r="A55" t="s">
        <v>1022</v>
      </c>
      <c r="B55" t="s">
        <v>447</v>
      </c>
      <c r="C55" t="s">
        <v>1749</v>
      </c>
      <c r="D55" t="s">
        <v>4403</v>
      </c>
      <c r="E55" t="s">
        <v>1474</v>
      </c>
    </row>
    <row r="56" spans="1:5" x14ac:dyDescent="0.25">
      <c r="A56" t="s">
        <v>4421</v>
      </c>
      <c r="B56" t="s">
        <v>447</v>
      </c>
      <c r="C56" t="s">
        <v>1886</v>
      </c>
      <c r="D56" t="s">
        <v>4403</v>
      </c>
      <c r="E56" t="s">
        <v>1474</v>
      </c>
    </row>
    <row r="57" spans="1:5" x14ac:dyDescent="0.25">
      <c r="A57" t="s">
        <v>1033</v>
      </c>
      <c r="B57" t="s">
        <v>447</v>
      </c>
      <c r="C57" t="s">
        <v>1708</v>
      </c>
      <c r="D57" t="s">
        <v>4405</v>
      </c>
      <c r="E57" t="s">
        <v>1474</v>
      </c>
    </row>
    <row r="58" spans="1:5" x14ac:dyDescent="0.25">
      <c r="A58" t="s">
        <v>1034</v>
      </c>
      <c r="B58" t="s">
        <v>447</v>
      </c>
      <c r="C58" t="s">
        <v>1722</v>
      </c>
      <c r="D58" t="s">
        <v>4405</v>
      </c>
      <c r="E58" t="s">
        <v>1474</v>
      </c>
    </row>
    <row r="59" spans="1:5" x14ac:dyDescent="0.25">
      <c r="A59" t="s">
        <v>1035</v>
      </c>
      <c r="B59" t="s">
        <v>447</v>
      </c>
      <c r="C59" t="s">
        <v>1729</v>
      </c>
      <c r="D59" t="s">
        <v>4405</v>
      </c>
      <c r="E59" t="s">
        <v>1474</v>
      </c>
    </row>
    <row r="60" spans="1:5" x14ac:dyDescent="0.25">
      <c r="A60" t="s">
        <v>1036</v>
      </c>
      <c r="B60" t="s">
        <v>447</v>
      </c>
      <c r="C60" t="s">
        <v>1734</v>
      </c>
      <c r="D60" t="s">
        <v>4405</v>
      </c>
      <c r="E60" t="s">
        <v>1474</v>
      </c>
    </row>
    <row r="61" spans="1:5" x14ac:dyDescent="0.25">
      <c r="A61" t="s">
        <v>4392</v>
      </c>
      <c r="B61" t="s">
        <v>447</v>
      </c>
      <c r="C61" t="s">
        <v>4430</v>
      </c>
      <c r="D61" t="s">
        <v>4405</v>
      </c>
      <c r="E61" t="s">
        <v>1474</v>
      </c>
    </row>
    <row r="62" spans="1:5" x14ac:dyDescent="0.25">
      <c r="A62" t="s">
        <v>1037</v>
      </c>
      <c r="B62" t="s">
        <v>447</v>
      </c>
      <c r="C62" t="s">
        <v>4431</v>
      </c>
      <c r="D62" t="s">
        <v>4405</v>
      </c>
      <c r="E62" t="s">
        <v>1474</v>
      </c>
    </row>
    <row r="63" spans="1:5" x14ac:dyDescent="0.25">
      <c r="A63" t="s">
        <v>4397</v>
      </c>
      <c r="B63" t="s">
        <v>447</v>
      </c>
      <c r="C63" t="s">
        <v>4400</v>
      </c>
      <c r="D63" t="s">
        <v>4405</v>
      </c>
      <c r="E63" t="s">
        <v>1474</v>
      </c>
    </row>
    <row r="64" spans="1:5" x14ac:dyDescent="0.25">
      <c r="A64" t="s">
        <v>1038</v>
      </c>
      <c r="B64" t="s">
        <v>447</v>
      </c>
      <c r="C64" t="s">
        <v>1744</v>
      </c>
      <c r="D64" t="s">
        <v>4405</v>
      </c>
      <c r="E64" t="s">
        <v>1474</v>
      </c>
    </row>
    <row r="65" spans="1:5" x14ac:dyDescent="0.25">
      <c r="A65" t="s">
        <v>1039</v>
      </c>
      <c r="B65" t="s">
        <v>447</v>
      </c>
      <c r="C65" t="s">
        <v>1747</v>
      </c>
      <c r="D65" t="s">
        <v>4405</v>
      </c>
      <c r="E65" t="s">
        <v>1474</v>
      </c>
    </row>
    <row r="66" spans="1:5" x14ac:dyDescent="0.25">
      <c r="A66" t="s">
        <v>1040</v>
      </c>
      <c r="B66" t="s">
        <v>447</v>
      </c>
      <c r="C66" t="s">
        <v>1750</v>
      </c>
      <c r="D66" t="s">
        <v>4405</v>
      </c>
      <c r="E66" t="s">
        <v>1474</v>
      </c>
    </row>
    <row r="67" spans="1:5" x14ac:dyDescent="0.25">
      <c r="A67" t="s">
        <v>4422</v>
      </c>
      <c r="B67" t="s">
        <v>447</v>
      </c>
      <c r="C67" t="s">
        <v>1887</v>
      </c>
      <c r="D67" t="s">
        <v>4405</v>
      </c>
      <c r="E67" t="s">
        <v>1474</v>
      </c>
    </row>
    <row r="68" spans="1:5" x14ac:dyDescent="0.25">
      <c r="A68" t="s">
        <v>1024</v>
      </c>
      <c r="B68" t="s">
        <v>447</v>
      </c>
      <c r="C68" t="s">
        <v>1709</v>
      </c>
      <c r="D68" t="s">
        <v>4407</v>
      </c>
      <c r="E68" t="s">
        <v>1481</v>
      </c>
    </row>
    <row r="69" spans="1:5" x14ac:dyDescent="0.25">
      <c r="A69" t="s">
        <v>1041</v>
      </c>
      <c r="B69" t="s">
        <v>447</v>
      </c>
      <c r="C69" t="s">
        <v>1723</v>
      </c>
      <c r="D69" t="s">
        <v>4407</v>
      </c>
      <c r="E69" t="s">
        <v>1481</v>
      </c>
    </row>
    <row r="70" spans="1:5" x14ac:dyDescent="0.25">
      <c r="A70" t="s">
        <v>1043</v>
      </c>
      <c r="B70" t="s">
        <v>447</v>
      </c>
      <c r="C70" t="s">
        <v>1735</v>
      </c>
      <c r="D70" t="s">
        <v>4407</v>
      </c>
      <c r="E70" t="s">
        <v>1481</v>
      </c>
    </row>
    <row r="71" spans="1:5" x14ac:dyDescent="0.25">
      <c r="A71" t="s">
        <v>1044</v>
      </c>
      <c r="B71" t="s">
        <v>447</v>
      </c>
      <c r="C71" t="s">
        <v>1740</v>
      </c>
      <c r="D71" t="s">
        <v>4407</v>
      </c>
      <c r="E71" t="s">
        <v>1481</v>
      </c>
    </row>
    <row r="72" spans="1:5" x14ac:dyDescent="0.25">
      <c r="A72" t="s">
        <v>1071</v>
      </c>
      <c r="B72" t="s">
        <v>447</v>
      </c>
      <c r="C72" t="s">
        <v>1751</v>
      </c>
      <c r="D72" t="s">
        <v>4407</v>
      </c>
      <c r="E72" t="s">
        <v>1481</v>
      </c>
    </row>
    <row r="73" spans="1:5" x14ac:dyDescent="0.25">
      <c r="A73" t="s">
        <v>1072</v>
      </c>
      <c r="B73" t="s">
        <v>447</v>
      </c>
      <c r="C73" t="s">
        <v>1880</v>
      </c>
      <c r="D73" t="s">
        <v>4407</v>
      </c>
      <c r="E73" t="s">
        <v>1481</v>
      </c>
    </row>
    <row r="74" spans="1:5" x14ac:dyDescent="0.25">
      <c r="A74" t="s">
        <v>1073</v>
      </c>
      <c r="B74" t="s">
        <v>447</v>
      </c>
      <c r="C74" t="s">
        <v>1758</v>
      </c>
      <c r="D74" t="s">
        <v>4407</v>
      </c>
      <c r="E74" t="s">
        <v>1481</v>
      </c>
    </row>
    <row r="75" spans="1:5" x14ac:dyDescent="0.25">
      <c r="A75" t="s">
        <v>1074</v>
      </c>
      <c r="B75" t="s">
        <v>447</v>
      </c>
      <c r="C75" t="s">
        <v>1710</v>
      </c>
      <c r="D75" t="s">
        <v>4408</v>
      </c>
      <c r="E75" t="s">
        <v>41</v>
      </c>
    </row>
    <row r="76" spans="1:5" x14ac:dyDescent="0.25">
      <c r="A76" t="s">
        <v>1075</v>
      </c>
      <c r="B76" t="s">
        <v>447</v>
      </c>
      <c r="C76" t="s">
        <v>1755</v>
      </c>
      <c r="D76" t="s">
        <v>4408</v>
      </c>
      <c r="E76" t="s">
        <v>41</v>
      </c>
    </row>
    <row r="77" spans="1:5" x14ac:dyDescent="0.25">
      <c r="A77" t="s">
        <v>1076</v>
      </c>
      <c r="B77" t="s">
        <v>447</v>
      </c>
      <c r="C77" t="s">
        <v>1756</v>
      </c>
      <c r="D77" t="s">
        <v>4408</v>
      </c>
      <c r="E77" t="s">
        <v>41</v>
      </c>
    </row>
    <row r="78" spans="1:5" x14ac:dyDescent="0.25">
      <c r="A78" t="s">
        <v>1077</v>
      </c>
      <c r="B78" t="s">
        <v>447</v>
      </c>
      <c r="C78" t="s">
        <v>1757</v>
      </c>
      <c r="D78" t="s">
        <v>4408</v>
      </c>
      <c r="E78" t="s">
        <v>41</v>
      </c>
    </row>
    <row r="79" spans="1:5" x14ac:dyDescent="0.25">
      <c r="A79" t="s">
        <v>1078</v>
      </c>
      <c r="B79" t="s">
        <v>447</v>
      </c>
      <c r="C79" t="s">
        <v>1881</v>
      </c>
      <c r="D79" t="s">
        <v>4408</v>
      </c>
      <c r="E79" t="s">
        <v>41</v>
      </c>
    </row>
    <row r="80" spans="1:5" x14ac:dyDescent="0.25">
      <c r="A80" t="s">
        <v>1079</v>
      </c>
      <c r="B80" t="s">
        <v>447</v>
      </c>
      <c r="C80" t="s">
        <v>1759</v>
      </c>
      <c r="D80" t="s">
        <v>4408</v>
      </c>
      <c r="E80" t="s">
        <v>41</v>
      </c>
    </row>
    <row r="81" spans="1:5" x14ac:dyDescent="0.25">
      <c r="A81" t="s">
        <v>1081</v>
      </c>
      <c r="B81" t="s">
        <v>447</v>
      </c>
      <c r="C81" t="s">
        <v>1711</v>
      </c>
      <c r="D81" t="s">
        <v>4409</v>
      </c>
      <c r="E81" t="s">
        <v>46</v>
      </c>
    </row>
    <row r="82" spans="1:5" x14ac:dyDescent="0.25">
      <c r="A82" t="s">
        <v>1082</v>
      </c>
      <c r="B82" t="s">
        <v>447</v>
      </c>
      <c r="C82" t="s">
        <v>1739</v>
      </c>
      <c r="D82" t="s">
        <v>4409</v>
      </c>
      <c r="E82" t="s">
        <v>46</v>
      </c>
    </row>
    <row r="83" spans="1:5" x14ac:dyDescent="0.25">
      <c r="A83" t="s">
        <v>1094</v>
      </c>
      <c r="B83" t="s">
        <v>447</v>
      </c>
      <c r="C83" t="s">
        <v>1712</v>
      </c>
      <c r="D83" t="s">
        <v>4410</v>
      </c>
      <c r="E83" t="s">
        <v>1528</v>
      </c>
    </row>
    <row r="84" spans="1:5" x14ac:dyDescent="0.25">
      <c r="A84" t="s">
        <v>1095</v>
      </c>
      <c r="B84" t="s">
        <v>447</v>
      </c>
      <c r="C84" t="s">
        <v>1724</v>
      </c>
      <c r="D84" t="s">
        <v>4410</v>
      </c>
      <c r="E84" t="s">
        <v>1528</v>
      </c>
    </row>
    <row r="85" spans="1:5" x14ac:dyDescent="0.25">
      <c r="A85" t="s">
        <v>1096</v>
      </c>
      <c r="B85" t="s">
        <v>447</v>
      </c>
      <c r="C85" t="s">
        <v>1730</v>
      </c>
      <c r="D85" t="s">
        <v>4410</v>
      </c>
      <c r="E85" t="s">
        <v>1528</v>
      </c>
    </row>
    <row r="86" spans="1:5" x14ac:dyDescent="0.25">
      <c r="A86" t="s">
        <v>1097</v>
      </c>
      <c r="B86" t="s">
        <v>447</v>
      </c>
      <c r="C86" t="s">
        <v>1736</v>
      </c>
      <c r="D86" t="s">
        <v>4410</v>
      </c>
      <c r="E86" t="s">
        <v>1528</v>
      </c>
    </row>
    <row r="87" spans="1:5" x14ac:dyDescent="0.25">
      <c r="A87" t="s">
        <v>1098</v>
      </c>
      <c r="B87" t="s">
        <v>447</v>
      </c>
      <c r="C87" t="s">
        <v>1741</v>
      </c>
      <c r="D87" t="s">
        <v>4410</v>
      </c>
      <c r="E87" t="s">
        <v>1528</v>
      </c>
    </row>
    <row r="88" spans="1:5" x14ac:dyDescent="0.25">
      <c r="A88" t="s">
        <v>1099</v>
      </c>
      <c r="B88" t="s">
        <v>447</v>
      </c>
      <c r="C88" t="s">
        <v>1752</v>
      </c>
      <c r="D88" t="s">
        <v>4410</v>
      </c>
      <c r="E88" t="s">
        <v>1528</v>
      </c>
    </row>
    <row r="89" spans="1:5" x14ac:dyDescent="0.25">
      <c r="A89" t="s">
        <v>1100</v>
      </c>
      <c r="B89" t="s">
        <v>447</v>
      </c>
      <c r="C89" t="s">
        <v>1882</v>
      </c>
      <c r="D89" t="s">
        <v>4410</v>
      </c>
      <c r="E89" t="s">
        <v>1528</v>
      </c>
    </row>
    <row r="90" spans="1:5" x14ac:dyDescent="0.25">
      <c r="A90" t="s">
        <v>1101</v>
      </c>
      <c r="B90" t="s">
        <v>447</v>
      </c>
      <c r="C90" t="s">
        <v>1760</v>
      </c>
      <c r="D90" t="s">
        <v>4410</v>
      </c>
      <c r="E90" t="s">
        <v>1528</v>
      </c>
    </row>
    <row r="91" spans="1:5" x14ac:dyDescent="0.25">
      <c r="A91" t="s">
        <v>1102</v>
      </c>
      <c r="B91" t="s">
        <v>447</v>
      </c>
      <c r="C91" t="s">
        <v>1713</v>
      </c>
      <c r="D91" t="s">
        <v>4411</v>
      </c>
      <c r="E91" t="s">
        <v>1528</v>
      </c>
    </row>
    <row r="92" spans="1:5" x14ac:dyDescent="0.25">
      <c r="A92" t="s">
        <v>1103</v>
      </c>
      <c r="B92" t="s">
        <v>447</v>
      </c>
      <c r="C92" t="s">
        <v>1725</v>
      </c>
      <c r="D92" t="s">
        <v>4411</v>
      </c>
      <c r="E92" t="s">
        <v>1528</v>
      </c>
    </row>
    <row r="93" spans="1:5" x14ac:dyDescent="0.25">
      <c r="A93" t="s">
        <v>1104</v>
      </c>
      <c r="B93" t="s">
        <v>447</v>
      </c>
      <c r="C93" t="s">
        <v>1731</v>
      </c>
      <c r="D93" t="s">
        <v>4411</v>
      </c>
      <c r="E93" t="s">
        <v>1528</v>
      </c>
    </row>
    <row r="94" spans="1:5" x14ac:dyDescent="0.25">
      <c r="A94" t="s">
        <v>1105</v>
      </c>
      <c r="B94" t="s">
        <v>447</v>
      </c>
      <c r="C94" t="s">
        <v>1737</v>
      </c>
      <c r="D94" t="s">
        <v>4411</v>
      </c>
      <c r="E94" t="s">
        <v>1528</v>
      </c>
    </row>
    <row r="95" spans="1:5" x14ac:dyDescent="0.25">
      <c r="A95" t="s">
        <v>1106</v>
      </c>
      <c r="B95" t="s">
        <v>447</v>
      </c>
      <c r="C95" t="s">
        <v>1742</v>
      </c>
      <c r="D95" t="s">
        <v>4411</v>
      </c>
      <c r="E95" t="s">
        <v>1528</v>
      </c>
    </row>
    <row r="96" spans="1:5" x14ac:dyDescent="0.25">
      <c r="A96" t="s">
        <v>1107</v>
      </c>
      <c r="B96" t="s">
        <v>447</v>
      </c>
      <c r="C96" t="s">
        <v>1753</v>
      </c>
      <c r="D96" t="s">
        <v>4411</v>
      </c>
      <c r="E96" t="s">
        <v>1528</v>
      </c>
    </row>
    <row r="97" spans="1:5" x14ac:dyDescent="0.25">
      <c r="A97" t="s">
        <v>1108</v>
      </c>
      <c r="B97" t="s">
        <v>447</v>
      </c>
      <c r="C97" t="s">
        <v>1883</v>
      </c>
      <c r="D97" t="s">
        <v>4411</v>
      </c>
      <c r="E97" t="s">
        <v>1528</v>
      </c>
    </row>
    <row r="98" spans="1:5" x14ac:dyDescent="0.25">
      <c r="A98" t="s">
        <v>1109</v>
      </c>
      <c r="B98" t="s">
        <v>447</v>
      </c>
      <c r="C98" t="s">
        <v>1761</v>
      </c>
      <c r="D98" t="s">
        <v>4411</v>
      </c>
      <c r="E98" t="s">
        <v>1528</v>
      </c>
    </row>
    <row r="99" spans="1:5" x14ac:dyDescent="0.25">
      <c r="A99" t="s">
        <v>1110</v>
      </c>
      <c r="B99" t="s">
        <v>447</v>
      </c>
      <c r="C99" t="s">
        <v>1714</v>
      </c>
      <c r="D99" t="s">
        <v>4413</v>
      </c>
      <c r="E99" t="s">
        <v>1528</v>
      </c>
    </row>
    <row r="100" spans="1:5" x14ac:dyDescent="0.25">
      <c r="A100" t="s">
        <v>1111</v>
      </c>
      <c r="B100" t="s">
        <v>447</v>
      </c>
      <c r="C100" t="s">
        <v>1726</v>
      </c>
      <c r="D100" t="s">
        <v>4413</v>
      </c>
      <c r="E100" t="s">
        <v>1528</v>
      </c>
    </row>
    <row r="101" spans="1:5" x14ac:dyDescent="0.25">
      <c r="A101" t="s">
        <v>1112</v>
      </c>
      <c r="B101" t="s">
        <v>447</v>
      </c>
      <c r="C101" t="s">
        <v>1738</v>
      </c>
      <c r="D101" t="s">
        <v>4413</v>
      </c>
      <c r="E101" t="s">
        <v>1528</v>
      </c>
    </row>
    <row r="102" spans="1:5" x14ac:dyDescent="0.25">
      <c r="A102" t="s">
        <v>1113</v>
      </c>
      <c r="B102" t="s">
        <v>447</v>
      </c>
      <c r="C102" t="s">
        <v>1754</v>
      </c>
      <c r="D102" t="s">
        <v>4413</v>
      </c>
      <c r="E102" t="s">
        <v>1528</v>
      </c>
    </row>
    <row r="103" spans="1:5" x14ac:dyDescent="0.25">
      <c r="A103" t="s">
        <v>1114</v>
      </c>
      <c r="B103" t="s">
        <v>447</v>
      </c>
      <c r="C103" t="s">
        <v>1884</v>
      </c>
      <c r="D103" t="s">
        <v>4413</v>
      </c>
      <c r="E103" t="s">
        <v>1528</v>
      </c>
    </row>
    <row r="104" spans="1:5" x14ac:dyDescent="0.25">
      <c r="A104" t="s">
        <v>1118</v>
      </c>
      <c r="B104" t="s">
        <v>447</v>
      </c>
      <c r="C104" t="s">
        <v>1715</v>
      </c>
      <c r="D104" t="s">
        <v>4414</v>
      </c>
      <c r="E104" t="s">
        <v>2017</v>
      </c>
    </row>
    <row r="105" spans="1:5" x14ac:dyDescent="0.25">
      <c r="A105" t="s">
        <v>1119</v>
      </c>
      <c r="B105" t="s">
        <v>447</v>
      </c>
      <c r="C105" t="s">
        <v>1762</v>
      </c>
      <c r="D105" t="s">
        <v>4414</v>
      </c>
      <c r="E105" t="s">
        <v>2017</v>
      </c>
    </row>
    <row r="106" spans="1:5" x14ac:dyDescent="0.25">
      <c r="A106" t="s">
        <v>1120</v>
      </c>
      <c r="B106" t="s">
        <v>447</v>
      </c>
      <c r="C106" t="s">
        <v>1716</v>
      </c>
      <c r="D106" t="s">
        <v>4415</v>
      </c>
      <c r="E106" t="s">
        <v>1672</v>
      </c>
    </row>
    <row r="107" spans="1:5" x14ac:dyDescent="0.25">
      <c r="A107" t="s">
        <v>1121</v>
      </c>
      <c r="B107" t="s">
        <v>447</v>
      </c>
      <c r="C107" t="s">
        <v>1763</v>
      </c>
      <c r="D107" t="s">
        <v>4415</v>
      </c>
      <c r="E107" t="s">
        <v>1672</v>
      </c>
    </row>
    <row r="108" spans="1:5" x14ac:dyDescent="0.25">
      <c r="A108" t="s">
        <v>1122</v>
      </c>
      <c r="B108" t="s">
        <v>447</v>
      </c>
      <c r="C108" t="s">
        <v>1717</v>
      </c>
      <c r="D108" t="s">
        <v>4416</v>
      </c>
      <c r="E108" t="s">
        <v>2018</v>
      </c>
    </row>
    <row r="109" spans="1:5" x14ac:dyDescent="0.25">
      <c r="A109" t="s">
        <v>1123</v>
      </c>
      <c r="B109" t="s">
        <v>447</v>
      </c>
      <c r="C109" t="s">
        <v>1878</v>
      </c>
      <c r="D109" t="s">
        <v>4416</v>
      </c>
      <c r="E109" t="s">
        <v>2018</v>
      </c>
    </row>
    <row r="110" spans="1:5" x14ac:dyDescent="0.25">
      <c r="A110" t="s">
        <v>1124</v>
      </c>
      <c r="B110" t="s">
        <v>447</v>
      </c>
      <c r="C110" t="s">
        <v>1718</v>
      </c>
      <c r="D110" t="s">
        <v>4417</v>
      </c>
      <c r="E110" t="s">
        <v>2019</v>
      </c>
    </row>
    <row r="111" spans="1:5" x14ac:dyDescent="0.25">
      <c r="A111" t="s">
        <v>1125</v>
      </c>
      <c r="B111" t="s">
        <v>447</v>
      </c>
      <c r="C111" t="s">
        <v>1879</v>
      </c>
      <c r="D111" t="s">
        <v>4417</v>
      </c>
      <c r="E111" t="s">
        <v>2019</v>
      </c>
    </row>
    <row r="112" spans="1:5" x14ac:dyDescent="0.25">
      <c r="A112" t="s">
        <v>1130</v>
      </c>
      <c r="B112" t="s">
        <v>447</v>
      </c>
      <c r="C112" t="s">
        <v>1764</v>
      </c>
      <c r="D112" t="s">
        <v>4417</v>
      </c>
      <c r="E112" t="s">
        <v>2019</v>
      </c>
    </row>
    <row r="113" spans="1:5" x14ac:dyDescent="0.25">
      <c r="A113" t="s">
        <v>1293</v>
      </c>
      <c r="B113" t="s">
        <v>447</v>
      </c>
      <c r="C113" t="s">
        <v>1719</v>
      </c>
      <c r="D113" t="s">
        <v>4418</v>
      </c>
      <c r="E113" t="s">
        <v>1214</v>
      </c>
    </row>
    <row r="114" spans="1:5" x14ac:dyDescent="0.25">
      <c r="A114" t="s">
        <v>1294</v>
      </c>
      <c r="B114" t="s">
        <v>447</v>
      </c>
      <c r="C114" t="s">
        <v>1765</v>
      </c>
      <c r="D114" t="s">
        <v>4418</v>
      </c>
      <c r="E114" t="s">
        <v>1214</v>
      </c>
    </row>
    <row r="115" spans="1:5" x14ac:dyDescent="0.25">
      <c r="A115" t="s">
        <v>1295</v>
      </c>
      <c r="B115" t="s">
        <v>447</v>
      </c>
      <c r="C115" t="s">
        <v>1877</v>
      </c>
      <c r="D115" t="s">
        <v>4418</v>
      </c>
      <c r="E115" t="s">
        <v>1214</v>
      </c>
    </row>
    <row r="116" spans="1:5" x14ac:dyDescent="0.25">
      <c r="A116" t="s">
        <v>1766</v>
      </c>
      <c r="B116" t="s">
        <v>447</v>
      </c>
      <c r="C116" t="s">
        <v>1767</v>
      </c>
      <c r="D116" t="s">
        <v>4419</v>
      </c>
      <c r="E116" t="s">
        <v>2076</v>
      </c>
    </row>
    <row r="117" spans="1:5" x14ac:dyDescent="0.25">
      <c r="A117" t="s">
        <v>4768</v>
      </c>
      <c r="B117" t="s">
        <v>447</v>
      </c>
      <c r="C117" t="s">
        <v>4766</v>
      </c>
      <c r="E117" t="s">
        <v>2020</v>
      </c>
    </row>
    <row r="118" spans="1:5" x14ac:dyDescent="0.25">
      <c r="A118" t="s">
        <v>4769</v>
      </c>
      <c r="B118" t="s">
        <v>447</v>
      </c>
      <c r="C118" t="s">
        <v>4767</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2934</v>
      </c>
      <c r="E124" t="s">
        <v>2022</v>
      </c>
    </row>
    <row r="125" spans="1:5" x14ac:dyDescent="0.25">
      <c r="A125" t="s">
        <v>2948</v>
      </c>
      <c r="B125" t="s">
        <v>447</v>
      </c>
      <c r="C125" t="s">
        <v>2933</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4393</v>
      </c>
      <c r="B128" t="s">
        <v>447</v>
      </c>
      <c r="C128" t="s">
        <v>4489</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2954</v>
      </c>
      <c r="B132" t="s">
        <v>2074</v>
      </c>
      <c r="C132" t="s">
        <v>2950</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4084</v>
      </c>
      <c r="B139" t="s">
        <v>2074</v>
      </c>
      <c r="C139" t="s">
        <v>2639</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4085</v>
      </c>
      <c r="B150" t="s">
        <v>2074</v>
      </c>
      <c r="C150" t="s">
        <v>2888</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2882</v>
      </c>
      <c r="B156" t="s">
        <v>447</v>
      </c>
      <c r="C156" t="s">
        <v>4695</v>
      </c>
      <c r="E156" t="s">
        <v>2075</v>
      </c>
    </row>
    <row r="157" spans="1:5" x14ac:dyDescent="0.25">
      <c r="A157" t="s">
        <v>2883</v>
      </c>
      <c r="B157" t="s">
        <v>447</v>
      </c>
      <c r="C157" t="s">
        <v>4751</v>
      </c>
      <c r="E157" t="s">
        <v>2075</v>
      </c>
    </row>
    <row r="158" spans="1:5" x14ac:dyDescent="0.25">
      <c r="A158" t="s">
        <v>2886</v>
      </c>
      <c r="B158" t="s">
        <v>447</v>
      </c>
      <c r="C158" t="s">
        <v>2887</v>
      </c>
      <c r="E158" t="s">
        <v>2075</v>
      </c>
    </row>
    <row r="159" spans="1:5" x14ac:dyDescent="0.25">
      <c r="A159" t="s">
        <v>2902</v>
      </c>
      <c r="B159" t="s">
        <v>2930</v>
      </c>
      <c r="C159" t="s">
        <v>4752</v>
      </c>
      <c r="E159" t="s">
        <v>2075</v>
      </c>
    </row>
    <row r="160" spans="1:5" x14ac:dyDescent="0.25">
      <c r="A160" t="s">
        <v>4689</v>
      </c>
      <c r="B160" t="s">
        <v>447</v>
      </c>
      <c r="C160" t="s">
        <v>4691</v>
      </c>
      <c r="E160" t="s">
        <v>2075</v>
      </c>
    </row>
    <row r="161" spans="1:5" x14ac:dyDescent="0.25">
      <c r="A161" t="s">
        <v>4690</v>
      </c>
      <c r="B161" t="s">
        <v>447</v>
      </c>
      <c r="C161" t="s">
        <v>4692</v>
      </c>
      <c r="E161" t="s">
        <v>2075</v>
      </c>
    </row>
    <row r="162" spans="1:5" x14ac:dyDescent="0.25">
      <c r="A162" t="s">
        <v>2884</v>
      </c>
      <c r="B162" t="s">
        <v>447</v>
      </c>
      <c r="C162" t="s">
        <v>2885</v>
      </c>
      <c r="E162" t="s">
        <v>2075</v>
      </c>
    </row>
    <row r="163" spans="1:5" x14ac:dyDescent="0.25">
      <c r="A163" t="s">
        <v>4693</v>
      </c>
      <c r="B163" t="s">
        <v>447</v>
      </c>
      <c r="C163" t="s">
        <v>4694</v>
      </c>
      <c r="E163" t="s">
        <v>2075</v>
      </c>
    </row>
    <row r="164" spans="1:5" x14ac:dyDescent="0.25">
      <c r="A164" t="s">
        <v>4756</v>
      </c>
      <c r="B164" t="s">
        <v>447</v>
      </c>
      <c r="C164" t="s">
        <v>4760</v>
      </c>
    </row>
    <row r="165" spans="1:5" x14ac:dyDescent="0.25">
      <c r="A165" t="s">
        <v>4757</v>
      </c>
      <c r="B165" t="s">
        <v>447</v>
      </c>
      <c r="C165" t="s">
        <v>4760</v>
      </c>
    </row>
    <row r="166" spans="1:5" x14ac:dyDescent="0.25">
      <c r="A166" t="s">
        <v>4758</v>
      </c>
      <c r="B166" t="s">
        <v>447</v>
      </c>
      <c r="C166" t="s">
        <v>4760</v>
      </c>
    </row>
    <row r="167" spans="1:5" x14ac:dyDescent="0.25">
      <c r="A167" t="s">
        <v>4759</v>
      </c>
      <c r="B167" t="s">
        <v>447</v>
      </c>
      <c r="C167" t="s">
        <v>4760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2897</v>
      </c>
      <c r="B2" t="s">
        <v>2949</v>
      </c>
      <c r="C2" t="s">
        <v>2898</v>
      </c>
    </row>
    <row r="3" spans="1:4" x14ac:dyDescent="0.25">
      <c r="A3" t="s">
        <v>436</v>
      </c>
      <c r="B3" t="s">
        <v>2949</v>
      </c>
      <c r="C3" t="s">
        <v>437</v>
      </c>
    </row>
    <row r="4" spans="1:4" x14ac:dyDescent="0.25">
      <c r="A4" t="s">
        <v>2027</v>
      </c>
      <c r="B4" t="s">
        <v>447</v>
      </c>
      <c r="C4" t="s">
        <v>227</v>
      </c>
      <c r="D4" t="s">
        <v>450</v>
      </c>
    </row>
    <row r="5" spans="1:4" x14ac:dyDescent="0.25">
      <c r="A5" t="s">
        <v>2028</v>
      </c>
      <c r="B5" t="s">
        <v>447</v>
      </c>
      <c r="C5" t="s">
        <v>2615</v>
      </c>
      <c r="D5" t="s">
        <v>450</v>
      </c>
    </row>
    <row r="6" spans="1:4" x14ac:dyDescent="0.25">
      <c r="A6" t="s">
        <v>2053</v>
      </c>
      <c r="B6" t="s">
        <v>447</v>
      </c>
      <c r="C6" t="s">
        <v>2618</v>
      </c>
      <c r="D6" t="s">
        <v>1828</v>
      </c>
    </row>
    <row r="7" spans="1:4" x14ac:dyDescent="0.25">
      <c r="A7" t="s">
        <v>2029</v>
      </c>
      <c r="B7" t="s">
        <v>447</v>
      </c>
      <c r="C7" t="s">
        <v>229</v>
      </c>
      <c r="D7" t="s">
        <v>450</v>
      </c>
    </row>
    <row r="8" spans="1:4" x14ac:dyDescent="0.25">
      <c r="A8" t="s">
        <v>2083</v>
      </c>
      <c r="B8" t="s">
        <v>447</v>
      </c>
      <c r="C8" t="s">
        <v>2614</v>
      </c>
      <c r="D8" t="s">
        <v>450</v>
      </c>
    </row>
    <row r="9" spans="1:4" x14ac:dyDescent="0.25">
      <c r="A9" t="s">
        <v>2054</v>
      </c>
      <c r="B9" t="s">
        <v>447</v>
      </c>
      <c r="C9" t="s">
        <v>2619</v>
      </c>
      <c r="D9" t="s">
        <v>1828</v>
      </c>
    </row>
    <row r="10" spans="1:4" x14ac:dyDescent="0.25">
      <c r="A10" t="s">
        <v>2055</v>
      </c>
      <c r="B10" t="s">
        <v>447</v>
      </c>
      <c r="C10" t="s">
        <v>2620</v>
      </c>
      <c r="D10" t="s">
        <v>450</v>
      </c>
    </row>
    <row r="11" spans="1:4" x14ac:dyDescent="0.25">
      <c r="A11" t="s">
        <v>2030</v>
      </c>
      <c r="B11" t="s">
        <v>447</v>
      </c>
      <c r="C11" t="s">
        <v>2616</v>
      </c>
      <c r="D11" t="s">
        <v>450</v>
      </c>
    </row>
    <row r="12" spans="1:4" x14ac:dyDescent="0.25">
      <c r="A12" t="s">
        <v>2031</v>
      </c>
      <c r="B12" t="s">
        <v>447</v>
      </c>
      <c r="C12" t="s">
        <v>2617</v>
      </c>
      <c r="D12" t="s">
        <v>450</v>
      </c>
    </row>
    <row r="13" spans="1:4" x14ac:dyDescent="0.25">
      <c r="A13" t="s">
        <v>2056</v>
      </c>
      <c r="B13" t="s">
        <v>447</v>
      </c>
      <c r="C13" t="s">
        <v>2621</v>
      </c>
      <c r="D13" t="s">
        <v>450</v>
      </c>
    </row>
    <row r="14" spans="1:4" x14ac:dyDescent="0.25">
      <c r="A14" t="s">
        <v>2057</v>
      </c>
      <c r="B14" t="s">
        <v>447</v>
      </c>
      <c r="C14" t="s">
        <v>2622</v>
      </c>
      <c r="D14" t="s">
        <v>1827</v>
      </c>
    </row>
    <row r="15" spans="1:4" x14ac:dyDescent="0.25">
      <c r="A15" t="s">
        <v>2058</v>
      </c>
      <c r="B15" t="s">
        <v>447</v>
      </c>
      <c r="C15" t="s">
        <v>2623</v>
      </c>
      <c r="D15" t="s">
        <v>450</v>
      </c>
    </row>
    <row r="16" spans="1:4" x14ac:dyDescent="0.25">
      <c r="A16" t="s">
        <v>2059</v>
      </c>
      <c r="B16" t="s">
        <v>447</v>
      </c>
      <c r="C16" t="s">
        <v>2624</v>
      </c>
      <c r="D16" t="s">
        <v>450</v>
      </c>
    </row>
    <row r="17" spans="1:4" x14ac:dyDescent="0.25">
      <c r="A17" t="s">
        <v>2060</v>
      </c>
      <c r="B17" t="s">
        <v>447</v>
      </c>
      <c r="C17" t="s">
        <v>2625</v>
      </c>
      <c r="D17" t="s">
        <v>450</v>
      </c>
    </row>
    <row r="18" spans="1:4" x14ac:dyDescent="0.25">
      <c r="A18" t="s">
        <v>4083</v>
      </c>
      <c r="B18" t="s">
        <v>447</v>
      </c>
      <c r="C18" t="s">
        <v>2899</v>
      </c>
      <c r="D18" t="s">
        <v>450</v>
      </c>
    </row>
    <row r="19" spans="1:4" x14ac:dyDescent="0.25">
      <c r="A19" t="s">
        <v>2935</v>
      </c>
      <c r="B19" t="s">
        <v>447</v>
      </c>
      <c r="C19" t="s">
        <v>2952</v>
      </c>
      <c r="D19" t="s">
        <v>450</v>
      </c>
    </row>
    <row r="20" spans="1:4" x14ac:dyDescent="0.25">
      <c r="A20" t="s">
        <v>4080</v>
      </c>
      <c r="B20" t="s">
        <v>447</v>
      </c>
      <c r="C20" t="s">
        <v>4081</v>
      </c>
      <c r="D20" t="s">
        <v>450</v>
      </c>
    </row>
    <row r="21" spans="1:4" x14ac:dyDescent="0.25">
      <c r="A21" t="s">
        <v>2951</v>
      </c>
      <c r="B21" t="s">
        <v>447</v>
      </c>
      <c r="C21" t="s">
        <v>2953</v>
      </c>
      <c r="D21" t="s">
        <v>450</v>
      </c>
    </row>
    <row r="22" spans="1:4" x14ac:dyDescent="0.25">
      <c r="A22" t="s">
        <v>4040</v>
      </c>
      <c r="B22" t="s">
        <v>447</v>
      </c>
      <c r="C22" t="s">
        <v>4041</v>
      </c>
      <c r="D22" t="s">
        <v>450</v>
      </c>
    </row>
    <row r="23" spans="1:4" x14ac:dyDescent="0.25">
      <c r="A23" t="s">
        <v>4038</v>
      </c>
      <c r="B23" t="s">
        <v>447</v>
      </c>
      <c r="C23" t="s">
        <v>4039</v>
      </c>
      <c r="D23" t="s">
        <v>450</v>
      </c>
    </row>
    <row r="24" spans="1:4" x14ac:dyDescent="0.25">
      <c r="A24" t="s">
        <v>4490</v>
      </c>
      <c r="B24" t="s">
        <v>447</v>
      </c>
      <c r="C24" t="s">
        <v>4491</v>
      </c>
      <c r="D24" t="s">
        <v>450</v>
      </c>
    </row>
    <row r="25" spans="1:4" x14ac:dyDescent="0.25">
      <c r="A25" t="s">
        <v>2061</v>
      </c>
      <c r="B25" t="s">
        <v>447</v>
      </c>
      <c r="C25" t="s">
        <v>1860</v>
      </c>
      <c r="D25" t="s">
        <v>450</v>
      </c>
    </row>
    <row r="26" spans="1:4" x14ac:dyDescent="0.25">
      <c r="A26" t="s">
        <v>4772</v>
      </c>
      <c r="B26" t="s">
        <v>447</v>
      </c>
      <c r="C26" t="s">
        <v>4770</v>
      </c>
      <c r="D26" t="s">
        <v>450</v>
      </c>
    </row>
    <row r="27" spans="1:4" x14ac:dyDescent="0.25">
      <c r="A27" t="s">
        <v>4773</v>
      </c>
      <c r="B27" t="s">
        <v>447</v>
      </c>
      <c r="C27" t="s">
        <v>4771</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4082</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2893</v>
      </c>
      <c r="B60" t="s">
        <v>447</v>
      </c>
      <c r="C60" t="s">
        <v>2894</v>
      </c>
      <c r="D60" t="s">
        <v>450</v>
      </c>
    </row>
    <row r="61" spans="1:4" x14ac:dyDescent="0.25">
      <c r="A61" t="s">
        <v>2891</v>
      </c>
      <c r="B61" t="s">
        <v>447</v>
      </c>
      <c r="C61" t="s">
        <v>2892</v>
      </c>
      <c r="D61" t="s">
        <v>450</v>
      </c>
    </row>
    <row r="62" spans="1:4" x14ac:dyDescent="0.25">
      <c r="A62" t="s">
        <v>2032</v>
      </c>
      <c r="B62" t="s">
        <v>447</v>
      </c>
      <c r="C62" t="s">
        <v>1891</v>
      </c>
      <c r="D62" t="s">
        <v>450</v>
      </c>
    </row>
    <row r="63" spans="1:4" x14ac:dyDescent="0.25">
      <c r="A63" t="s">
        <v>2903</v>
      </c>
      <c r="B63" t="s">
        <v>447</v>
      </c>
      <c r="C63" t="s">
        <v>2895</v>
      </c>
      <c r="D63" t="s">
        <v>450</v>
      </c>
    </row>
    <row r="64" spans="1:4" x14ac:dyDescent="0.25">
      <c r="A64" t="s">
        <v>2034</v>
      </c>
      <c r="B64" t="s">
        <v>449</v>
      </c>
      <c r="C64" t="s">
        <v>2626</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4761</v>
      </c>
      <c r="B68" t="s">
        <v>1485</v>
      </c>
      <c r="C68" t="s">
        <v>4765</v>
      </c>
    </row>
    <row r="69" spans="1:4" x14ac:dyDescent="0.25">
      <c r="A69" t="s">
        <v>4762</v>
      </c>
      <c r="B69" t="s">
        <v>1485</v>
      </c>
      <c r="C69" t="s">
        <v>4765</v>
      </c>
    </row>
    <row r="70" spans="1:4" x14ac:dyDescent="0.25">
      <c r="A70" t="s">
        <v>4763</v>
      </c>
      <c r="B70" t="s">
        <v>1485</v>
      </c>
      <c r="C70" t="s">
        <v>4765</v>
      </c>
    </row>
    <row r="71" spans="1:4" x14ac:dyDescent="0.25">
      <c r="A71" t="s">
        <v>4764</v>
      </c>
      <c r="B71" t="s">
        <v>1485</v>
      </c>
      <c r="C71" t="s">
        <v>4765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AH109" workbookViewId="0">
      <selection activeCell="AO123" sqref="AO123"/>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37" t="s">
        <v>4243</v>
      </c>
      <c r="G1" s="1038"/>
      <c r="H1" s="1038"/>
      <c r="I1" s="1038"/>
      <c r="J1" s="1038"/>
      <c r="K1" s="1038"/>
      <c r="L1" s="1038"/>
      <c r="M1" s="1038"/>
      <c r="N1" s="1038"/>
      <c r="O1" s="1038"/>
      <c r="P1" s="1038"/>
      <c r="Q1" s="1038"/>
      <c r="R1" s="1038"/>
      <c r="S1" s="1038"/>
      <c r="T1" s="1038"/>
      <c r="U1" s="1038"/>
      <c r="V1" s="1038"/>
      <c r="W1" s="1038"/>
      <c r="X1" s="1038"/>
      <c r="Y1" s="1038"/>
      <c r="Z1" s="1039"/>
      <c r="AA1" s="1041" t="s">
        <v>2612</v>
      </c>
      <c r="AB1" s="109"/>
      <c r="AC1" s="1038" t="s">
        <v>147</v>
      </c>
      <c r="AD1" s="1038"/>
      <c r="AE1" s="1038"/>
      <c r="AF1" s="1038"/>
      <c r="AG1" s="1038"/>
      <c r="AH1" s="1043" t="s">
        <v>2640</v>
      </c>
      <c r="AJ1" s="1043" t="s">
        <v>2641</v>
      </c>
      <c r="AK1" s="1036" t="s">
        <v>394</v>
      </c>
      <c r="AL1" s="1036"/>
      <c r="AM1" s="1036"/>
      <c r="AN1" s="1036"/>
      <c r="AO1" s="1036"/>
      <c r="AP1" s="1036"/>
      <c r="AQ1" s="1036"/>
      <c r="AR1" s="1036"/>
      <c r="AS1" s="1036"/>
      <c r="AT1" s="1036"/>
      <c r="AU1" s="1036"/>
      <c r="AV1" s="1036"/>
      <c r="AW1" s="1036"/>
      <c r="AX1" s="1036"/>
      <c r="AY1" s="1036"/>
      <c r="AZ1" s="1036"/>
      <c r="BA1" s="1036"/>
      <c r="BB1" s="1036"/>
      <c r="BC1" s="1036"/>
      <c r="BD1" s="1036"/>
      <c r="BE1" s="1036"/>
      <c r="BH1" s="1044" t="s">
        <v>4380</v>
      </c>
      <c r="BI1" s="1044"/>
      <c r="BJ1" s="1044"/>
      <c r="BK1" s="1044"/>
      <c r="BL1" s="1044"/>
      <c r="BM1" s="1044"/>
      <c r="BN1" s="1044"/>
      <c r="BO1" s="1044"/>
      <c r="BP1" s="1044"/>
      <c r="BQ1" s="1044"/>
      <c r="BR1" s="1044"/>
      <c r="BS1" s="1044"/>
      <c r="BT1" s="1044"/>
      <c r="BU1" s="1044"/>
      <c r="BV1" s="1044"/>
      <c r="BW1" s="1044"/>
      <c r="BX1" s="1044"/>
      <c r="BY1" s="1044"/>
      <c r="BZ1" s="1044"/>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42"/>
      <c r="AB2" s="725" t="s">
        <v>91</v>
      </c>
      <c r="AC2" s="727" t="s">
        <v>148</v>
      </c>
      <c r="AD2" s="722" t="s">
        <v>152</v>
      </c>
      <c r="AE2" s="722" t="s">
        <v>149</v>
      </c>
      <c r="AF2" s="722" t="s">
        <v>150</v>
      </c>
      <c r="AG2" s="722" t="s">
        <v>151</v>
      </c>
      <c r="AH2" s="1043"/>
      <c r="AI2" s="735"/>
      <c r="AJ2" s="1043"/>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4278</v>
      </c>
      <c r="BH2" s="738" t="s">
        <v>4314</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4432</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48">
        <f>SUM(J3:Z7)/'Background Data'!X11</f>
        <v>0.9261510683324029</v>
      </c>
      <c r="AB3" s="52" t="s">
        <v>4470</v>
      </c>
      <c r="AC3" s="377">
        <v>1</v>
      </c>
      <c r="AD3" s="377">
        <v>1</v>
      </c>
      <c r="AE3" s="377">
        <v>1</v>
      </c>
      <c r="AF3" s="377">
        <v>1</v>
      </c>
      <c r="AG3" s="377">
        <v>1</v>
      </c>
      <c r="AH3" s="1043"/>
      <c r="AJ3" s="1043"/>
      <c r="AK3" s="28" t="s">
        <v>17</v>
      </c>
      <c r="AL3" s="1045"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4324</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4433</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0"/>
      <c r="AB4" s="52" t="s">
        <v>4470</v>
      </c>
      <c r="AC4" s="377">
        <v>1</v>
      </c>
      <c r="AD4" s="377">
        <v>1</v>
      </c>
      <c r="AE4" s="377">
        <v>1</v>
      </c>
      <c r="AF4" s="377">
        <v>1</v>
      </c>
      <c r="AG4" s="377">
        <v>1</v>
      </c>
      <c r="AH4" s="1043"/>
      <c r="AJ4" s="1043"/>
      <c r="AK4" s="48" t="s">
        <v>108</v>
      </c>
      <c r="AL4" s="1046"/>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4315</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4434</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0"/>
      <c r="AB5" s="52" t="s">
        <v>4470</v>
      </c>
      <c r="AC5" s="377">
        <v>1</v>
      </c>
      <c r="AD5" s="377">
        <v>1</v>
      </c>
      <c r="AE5" s="377">
        <v>1</v>
      </c>
      <c r="AF5" s="377">
        <v>1</v>
      </c>
      <c r="AG5" s="377">
        <v>1</v>
      </c>
      <c r="AH5" s="1043"/>
      <c r="AJ5" s="1043"/>
      <c r="AK5" s="48" t="s">
        <v>107</v>
      </c>
      <c r="AL5" s="1046"/>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4316</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4435</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0"/>
      <c r="AB6" s="52" t="s">
        <v>4470</v>
      </c>
      <c r="AC6" s="377">
        <v>1</v>
      </c>
      <c r="AD6" s="377">
        <v>1</v>
      </c>
      <c r="AE6" s="377">
        <v>1</v>
      </c>
      <c r="AF6" s="377">
        <v>1</v>
      </c>
      <c r="AG6" s="377">
        <v>1</v>
      </c>
      <c r="AH6" s="1043"/>
      <c r="AJ6" s="1043"/>
      <c r="AK6" s="48" t="s">
        <v>131</v>
      </c>
      <c r="AL6" s="1046"/>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4333</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4436</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0"/>
      <c r="AB7" s="52" t="s">
        <v>4470</v>
      </c>
      <c r="AC7" s="377">
        <v>1</v>
      </c>
      <c r="AD7" s="377">
        <v>1</v>
      </c>
      <c r="AE7" s="377">
        <v>1</v>
      </c>
      <c r="AF7" s="377">
        <v>1</v>
      </c>
      <c r="AG7" s="377">
        <v>1</v>
      </c>
      <c r="AH7" s="1043"/>
      <c r="AJ7" s="1043"/>
      <c r="AK7" s="48" t="s">
        <v>132</v>
      </c>
      <c r="AL7" s="1046"/>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4318</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4437</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0">
        <f>SUM(J8:Z12)/'Background Data'!X12</f>
        <v>0.92677199245421438</v>
      </c>
      <c r="AB8" s="52" t="s">
        <v>4471</v>
      </c>
      <c r="AC8" s="377">
        <v>1</v>
      </c>
      <c r="AD8" s="377">
        <v>1</v>
      </c>
      <c r="AE8" s="377">
        <v>1</v>
      </c>
      <c r="AF8" s="377">
        <v>1</v>
      </c>
      <c r="AG8" s="377">
        <v>1</v>
      </c>
      <c r="AH8" s="1043"/>
      <c r="AJ8" s="1043"/>
      <c r="AK8" s="48" t="s">
        <v>133</v>
      </c>
      <c r="AL8" s="1046"/>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4334</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4438</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0"/>
      <c r="AB9" s="52" t="s">
        <v>4471</v>
      </c>
      <c r="AC9" s="377">
        <v>1</v>
      </c>
      <c r="AD9" s="377">
        <v>1</v>
      </c>
      <c r="AE9" s="377">
        <v>1</v>
      </c>
      <c r="AF9" s="377">
        <v>1</v>
      </c>
      <c r="AG9" s="377">
        <v>1</v>
      </c>
      <c r="AH9" s="1043"/>
      <c r="AJ9" s="1043"/>
      <c r="AK9" s="28" t="s">
        <v>142</v>
      </c>
      <c r="AL9" s="1046"/>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4317</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4439</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0"/>
      <c r="AB10" s="52" t="s">
        <v>4471</v>
      </c>
      <c r="AC10" s="377">
        <v>1</v>
      </c>
      <c r="AD10" s="377">
        <v>1</v>
      </c>
      <c r="AE10" s="377">
        <v>1</v>
      </c>
      <c r="AF10" s="377">
        <v>1</v>
      </c>
      <c r="AG10" s="377">
        <v>1</v>
      </c>
      <c r="AH10" s="1043"/>
      <c r="AJ10" s="1043"/>
      <c r="AK10" s="17" t="s">
        <v>108</v>
      </c>
      <c r="AL10" s="1046"/>
      <c r="AM10" s="1049" t="s">
        <v>722</v>
      </c>
      <c r="AN10" s="1049"/>
      <c r="AO10" s="1049"/>
      <c r="AP10" s="1049"/>
      <c r="AQ10" s="1049"/>
      <c r="AR10" s="1050"/>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4318</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4440</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0"/>
      <c r="AB11" s="52" t="s">
        <v>4471</v>
      </c>
      <c r="AC11" s="377">
        <v>1</v>
      </c>
      <c r="AD11" s="377">
        <v>1</v>
      </c>
      <c r="AE11" s="377">
        <v>1</v>
      </c>
      <c r="AF11" s="377">
        <v>1</v>
      </c>
      <c r="AG11" s="377">
        <v>1</v>
      </c>
      <c r="AH11" s="1043"/>
      <c r="AJ11" s="1043"/>
      <c r="AK11" s="17" t="s">
        <v>107</v>
      </c>
      <c r="AL11" s="1046"/>
      <c r="AM11" s="1049"/>
      <c r="AN11" s="1049"/>
      <c r="AO11" s="1049"/>
      <c r="AP11" s="1049"/>
      <c r="AQ11" s="1049"/>
      <c r="AR11" s="1050"/>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4334</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4441</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0"/>
      <c r="AB12" s="52" t="s">
        <v>4471</v>
      </c>
      <c r="AC12" s="377">
        <v>1</v>
      </c>
      <c r="AD12" s="377">
        <v>1</v>
      </c>
      <c r="AE12" s="377">
        <v>1</v>
      </c>
      <c r="AF12" s="377">
        <v>1</v>
      </c>
      <c r="AG12" s="377">
        <v>1</v>
      </c>
      <c r="AH12" s="1043"/>
      <c r="AJ12" s="1043"/>
      <c r="AK12" s="17" t="s">
        <v>131</v>
      </c>
      <c r="AL12" s="1046"/>
      <c r="AM12" s="1049"/>
      <c r="AN12" s="1049"/>
      <c r="AO12" s="1049"/>
      <c r="AP12" s="1049"/>
      <c r="AQ12" s="1049"/>
      <c r="AR12" s="1050"/>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4442</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0">
        <f>SUM(J13:Z16)/'Background Data'!X13</f>
        <v>0.90014356415195251</v>
      </c>
      <c r="AB13" s="52" t="s">
        <v>4472</v>
      </c>
      <c r="AC13" s="377">
        <v>1</v>
      </c>
      <c r="AD13" s="377">
        <v>1</v>
      </c>
      <c r="AE13" s="377">
        <v>1</v>
      </c>
      <c r="AF13" s="377">
        <v>1</v>
      </c>
      <c r="AG13" s="377">
        <v>1</v>
      </c>
      <c r="AH13" s="1043"/>
      <c r="AJ13" s="1043"/>
      <c r="AK13" s="17" t="s">
        <v>132</v>
      </c>
      <c r="AL13" s="1046"/>
      <c r="AM13" s="1049"/>
      <c r="AN13" s="1049"/>
      <c r="AO13" s="1049"/>
      <c r="AP13" s="1049"/>
      <c r="AQ13" s="1049"/>
      <c r="AR13" s="1050"/>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4340</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4443</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0"/>
      <c r="AB14" s="52" t="s">
        <v>4472</v>
      </c>
      <c r="AC14" s="377">
        <v>1</v>
      </c>
      <c r="AD14" s="377">
        <v>1</v>
      </c>
      <c r="AE14" s="377">
        <v>1</v>
      </c>
      <c r="AF14" s="377">
        <v>1</v>
      </c>
      <c r="AG14" s="377">
        <v>1</v>
      </c>
      <c r="AH14" s="1043"/>
      <c r="AJ14" s="1043"/>
      <c r="AK14" s="17" t="s">
        <v>133</v>
      </c>
      <c r="AL14" s="1046"/>
      <c r="AM14" s="1049"/>
      <c r="AN14" s="1049"/>
      <c r="AO14" s="1049"/>
      <c r="AP14" s="1049"/>
      <c r="AQ14" s="1049"/>
      <c r="AR14" s="1050"/>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4319</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4444</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0"/>
      <c r="AB15" s="52" t="s">
        <v>4472</v>
      </c>
      <c r="AC15" s="377">
        <v>1</v>
      </c>
      <c r="AD15" s="377">
        <v>1</v>
      </c>
      <c r="AE15" s="377">
        <v>1</v>
      </c>
      <c r="AF15" s="377">
        <v>1</v>
      </c>
      <c r="AG15" s="377">
        <v>1</v>
      </c>
      <c r="AH15" s="1043"/>
      <c r="AJ15" s="1043"/>
      <c r="AK15" s="28" t="s">
        <v>140</v>
      </c>
      <c r="AL15" s="1046"/>
      <c r="AM15" s="1049"/>
      <c r="AN15" s="1049"/>
      <c r="AO15" s="1049"/>
      <c r="AP15" s="1049"/>
      <c r="AQ15" s="1049"/>
      <c r="AR15" s="1050"/>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4335</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4445</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0"/>
      <c r="AB16" s="52" t="s">
        <v>4472</v>
      </c>
      <c r="AC16" s="377">
        <v>1</v>
      </c>
      <c r="AD16" s="377">
        <v>1</v>
      </c>
      <c r="AE16" s="377">
        <v>1</v>
      </c>
      <c r="AF16" s="377">
        <v>1</v>
      </c>
      <c r="AG16" s="377">
        <v>1</v>
      </c>
      <c r="AH16" s="1043"/>
      <c r="AJ16" s="1043"/>
      <c r="AK16" s="17" t="s">
        <v>108</v>
      </c>
      <c r="AL16" s="1046"/>
      <c r="AM16" s="1049"/>
      <c r="AN16" s="1049"/>
      <c r="AO16" s="1049"/>
      <c r="AP16" s="1049"/>
      <c r="AQ16" s="1049"/>
      <c r="AR16" s="1050"/>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4320</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4446</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0">
        <f>SUM(J17:Z18)/'Background Data'!X14</f>
        <v>0.90673703454525789</v>
      </c>
      <c r="AB17" s="52" t="s">
        <v>4474</v>
      </c>
      <c r="AC17" s="377">
        <v>1</v>
      </c>
      <c r="AD17" s="377">
        <v>1</v>
      </c>
      <c r="AE17" s="377">
        <v>1</v>
      </c>
      <c r="AF17" s="377">
        <v>1</v>
      </c>
      <c r="AG17" s="377">
        <v>1</v>
      </c>
      <c r="AH17" s="1043"/>
      <c r="AJ17" s="1043"/>
      <c r="AK17" s="17" t="s">
        <v>107</v>
      </c>
      <c r="AL17" s="1046"/>
      <c r="AM17" s="1049"/>
      <c r="AN17" s="1049"/>
      <c r="AO17" s="1049"/>
      <c r="AP17" s="1049"/>
      <c r="AQ17" s="1049"/>
      <c r="AR17" s="1050"/>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4323</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4447</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0"/>
      <c r="AB18" s="52" t="s">
        <v>4474</v>
      </c>
      <c r="AC18" s="377">
        <v>1</v>
      </c>
      <c r="AD18" s="377">
        <v>1</v>
      </c>
      <c r="AE18" s="377">
        <v>1</v>
      </c>
      <c r="AF18" s="377">
        <v>1</v>
      </c>
      <c r="AG18" s="377">
        <v>1</v>
      </c>
      <c r="AH18" s="1043"/>
      <c r="AJ18" s="1043"/>
      <c r="AK18" s="17" t="s">
        <v>131</v>
      </c>
      <c r="AL18" s="1046"/>
      <c r="AM18" s="1049"/>
      <c r="AN18" s="1049"/>
      <c r="AO18" s="1049"/>
      <c r="AP18" s="1049"/>
      <c r="AQ18" s="1049"/>
      <c r="AR18" s="1050"/>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4336</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4448</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4473</v>
      </c>
      <c r="AC19" s="377">
        <v>1</v>
      </c>
      <c r="AD19" s="377">
        <v>1</v>
      </c>
      <c r="AE19" s="377">
        <v>1</v>
      </c>
      <c r="AF19" s="377">
        <v>1</v>
      </c>
      <c r="AG19" s="377">
        <v>1</v>
      </c>
      <c r="AH19" s="1043"/>
      <c r="AJ19" s="1043"/>
      <c r="AK19" s="17" t="s">
        <v>132</v>
      </c>
      <c r="AL19" s="1046"/>
      <c r="AM19" s="1049"/>
      <c r="AN19" s="1049"/>
      <c r="AO19" s="1049"/>
      <c r="AP19" s="1049"/>
      <c r="AQ19" s="1049"/>
      <c r="AR19" s="1050"/>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4449</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4475</v>
      </c>
      <c r="AC20" s="377">
        <v>1</v>
      </c>
      <c r="AD20" s="377">
        <v>1</v>
      </c>
      <c r="AE20" s="377">
        <v>1</v>
      </c>
      <c r="AF20" s="377">
        <v>1</v>
      </c>
      <c r="AG20" s="377">
        <v>1</v>
      </c>
      <c r="AH20" s="1043"/>
      <c r="AJ20" s="1043"/>
      <c r="AK20" s="17" t="s">
        <v>133</v>
      </c>
      <c r="AL20" s="1046"/>
      <c r="AM20" s="1049"/>
      <c r="AN20" s="1049"/>
      <c r="AO20" s="1049"/>
      <c r="AP20" s="1049"/>
      <c r="AQ20" s="1049"/>
      <c r="AR20" s="1050"/>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4322</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4450</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0">
        <f>SUM(J21:Z23)/'Background Data'!X17</f>
        <v>0.94981087524262953</v>
      </c>
      <c r="AB21" s="52" t="s">
        <v>4476</v>
      </c>
      <c r="AC21" s="377">
        <v>2</v>
      </c>
      <c r="AD21" s="377">
        <v>1</v>
      </c>
      <c r="AE21" s="377">
        <v>1</v>
      </c>
      <c r="AF21" s="377">
        <v>2</v>
      </c>
      <c r="AG21" s="377">
        <v>1</v>
      </c>
      <c r="AH21" s="1043"/>
      <c r="AJ21" s="1043"/>
      <c r="AK21" s="28" t="s">
        <v>141</v>
      </c>
      <c r="AL21" s="1046"/>
      <c r="AM21" s="1049"/>
      <c r="AN21" s="1049"/>
      <c r="AO21" s="1049"/>
      <c r="AP21" s="1049"/>
      <c r="AQ21" s="1049"/>
      <c r="AR21" s="1050"/>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4337</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4451</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0"/>
      <c r="AB22" s="52" t="s">
        <v>4476</v>
      </c>
      <c r="AC22" s="377">
        <v>2</v>
      </c>
      <c r="AD22" s="377">
        <v>1</v>
      </c>
      <c r="AE22" s="377">
        <v>1</v>
      </c>
      <c r="AF22" s="377">
        <v>2</v>
      </c>
      <c r="AG22" s="377">
        <v>1</v>
      </c>
      <c r="AH22" s="1043"/>
      <c r="AJ22" s="1043"/>
      <c r="AK22" s="17" t="s">
        <v>108</v>
      </c>
      <c r="AL22" s="1046"/>
      <c r="AM22" s="1049"/>
      <c r="AN22" s="1049"/>
      <c r="AO22" s="1049"/>
      <c r="AP22" s="1049"/>
      <c r="AQ22" s="1049"/>
      <c r="AR22" s="1050"/>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4338</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4452</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0"/>
      <c r="AB23" s="52" t="s">
        <v>4476</v>
      </c>
      <c r="AC23" s="377">
        <v>2</v>
      </c>
      <c r="AD23" s="377">
        <v>1</v>
      </c>
      <c r="AE23" s="377">
        <v>1</v>
      </c>
      <c r="AF23" s="377">
        <v>2</v>
      </c>
      <c r="AG23" s="377">
        <v>1</v>
      </c>
      <c r="AH23" s="1043"/>
      <c r="AJ23" s="1043"/>
      <c r="AK23" s="17" t="s">
        <v>107</v>
      </c>
      <c r="AL23" s="1046"/>
      <c r="AM23" s="1049"/>
      <c r="AN23" s="1049"/>
      <c r="AO23" s="1049"/>
      <c r="AP23" s="1049"/>
      <c r="AQ23" s="1049"/>
      <c r="AR23" s="1050"/>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4339</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4453</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0">
        <f>SUM(J24:Z27)/'Background Data'!X18</f>
        <v>0.95009868816769982</v>
      </c>
      <c r="AB24" s="52" t="s">
        <v>4477</v>
      </c>
      <c r="AC24" s="377">
        <v>2</v>
      </c>
      <c r="AD24" s="377">
        <v>1</v>
      </c>
      <c r="AE24" s="377">
        <v>1</v>
      </c>
      <c r="AF24" s="377">
        <v>2</v>
      </c>
      <c r="AG24" s="377">
        <v>1</v>
      </c>
      <c r="AH24" s="1043"/>
      <c r="AJ24" s="1043"/>
      <c r="AK24" s="17" t="s">
        <v>131</v>
      </c>
      <c r="AL24" s="1046"/>
      <c r="AM24" s="1049"/>
      <c r="AN24" s="1049"/>
      <c r="AO24" s="1049"/>
      <c r="AP24" s="1049"/>
      <c r="AQ24" s="1049"/>
      <c r="AR24" s="1050"/>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4454</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0"/>
      <c r="AB25" s="52" t="s">
        <v>4477</v>
      </c>
      <c r="AC25" s="377">
        <v>2</v>
      </c>
      <c r="AD25" s="377">
        <v>1</v>
      </c>
      <c r="AE25" s="377">
        <v>1</v>
      </c>
      <c r="AF25" s="377">
        <v>2</v>
      </c>
      <c r="AG25" s="377">
        <v>1</v>
      </c>
      <c r="AH25" s="1043"/>
      <c r="AJ25" s="1043"/>
      <c r="AK25" s="17" t="s">
        <v>132</v>
      </c>
      <c r="AL25" s="1046"/>
      <c r="AM25" s="1049"/>
      <c r="AN25" s="1049"/>
      <c r="AO25" s="1049"/>
      <c r="AP25" s="1049"/>
      <c r="AQ25" s="1049"/>
      <c r="AR25" s="1050"/>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36" t="s">
        <v>4388</v>
      </c>
      <c r="BI25" s="1036"/>
      <c r="BJ25" s="1036"/>
      <c r="BK25" s="1036"/>
      <c r="BL25" s="1036"/>
      <c r="BM25" s="1036"/>
      <c r="BN25" s="1036"/>
      <c r="BO25" s="1036"/>
      <c r="BP25" s="1036"/>
      <c r="BQ25" s="1036"/>
      <c r="BR25" s="1036"/>
      <c r="BS25" s="1036"/>
      <c r="BT25" s="1036"/>
      <c r="BU25" s="1036"/>
      <c r="BV25" s="1036"/>
      <c r="BW25" s="1036"/>
      <c r="BX25" s="1036"/>
      <c r="BY25" s="1036"/>
      <c r="BZ25" s="1036"/>
      <c r="CA25" s="1036"/>
      <c r="CB25" s="1036"/>
      <c r="CC25" s="1036"/>
    </row>
    <row r="26" spans="1:82" ht="15.75" thickBot="1" x14ac:dyDescent="0.3">
      <c r="A26" t="s">
        <v>4455</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0"/>
      <c r="AB26" s="52" t="s">
        <v>4477</v>
      </c>
      <c r="AC26" s="377">
        <v>2</v>
      </c>
      <c r="AD26" s="377">
        <v>1</v>
      </c>
      <c r="AE26" s="377">
        <v>1</v>
      </c>
      <c r="AF26" s="377">
        <v>2</v>
      </c>
      <c r="AG26" s="377">
        <v>1</v>
      </c>
      <c r="AH26" s="1043"/>
      <c r="AJ26" s="1043"/>
      <c r="AK26" s="31" t="s">
        <v>133</v>
      </c>
      <c r="AL26" s="1054"/>
      <c r="AM26" s="1051"/>
      <c r="AN26" s="1051"/>
      <c r="AO26" s="1051"/>
      <c r="AP26" s="1051"/>
      <c r="AQ26" s="1051"/>
      <c r="AR26" s="1052"/>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4386</v>
      </c>
    </row>
    <row r="27" spans="1:82" ht="44.1" customHeight="1" thickTop="1" x14ac:dyDescent="0.25">
      <c r="A27" t="s">
        <v>4456</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0"/>
      <c r="AB27" s="52" t="s">
        <v>4477</v>
      </c>
      <c r="AC27" s="377">
        <v>2</v>
      </c>
      <c r="AD27" s="377">
        <v>1</v>
      </c>
      <c r="AE27" s="377">
        <v>1</v>
      </c>
      <c r="AF27" s="377">
        <v>2</v>
      </c>
      <c r="AG27" s="377">
        <v>1</v>
      </c>
      <c r="AH27" s="1043"/>
      <c r="AJ27" s="1043"/>
      <c r="AK27" s="28" t="s">
        <v>28</v>
      </c>
      <c r="AL27" s="1053"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4457</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0">
        <f>SUM(J28:Z29)/'Background Data'!X19</f>
        <v>0.9511756776995659</v>
      </c>
      <c r="AB28" s="52" t="s">
        <v>4478</v>
      </c>
      <c r="AC28" s="377">
        <v>2</v>
      </c>
      <c r="AD28" s="377">
        <v>1</v>
      </c>
      <c r="AE28" s="377">
        <v>1</v>
      </c>
      <c r="AF28" s="377">
        <v>2</v>
      </c>
      <c r="AG28" s="377">
        <v>1</v>
      </c>
      <c r="AH28" s="1043"/>
      <c r="AJ28" s="1043"/>
      <c r="AK28" s="48" t="s">
        <v>108</v>
      </c>
      <c r="AL28" s="1046"/>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4385</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4458</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47"/>
      <c r="AB29" s="52" t="s">
        <v>4478</v>
      </c>
      <c r="AC29" s="377">
        <v>2</v>
      </c>
      <c r="AD29" s="377">
        <v>1</v>
      </c>
      <c r="AE29" s="377">
        <v>1</v>
      </c>
      <c r="AF29" s="377">
        <v>2</v>
      </c>
      <c r="AG29" s="377">
        <v>1</v>
      </c>
      <c r="AH29" s="1043"/>
      <c r="AJ29" s="1043"/>
      <c r="AK29" s="48" t="s">
        <v>107</v>
      </c>
      <c r="AL29" s="1046"/>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4459</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4482</v>
      </c>
      <c r="AC30" s="377">
        <v>2</v>
      </c>
      <c r="AD30" s="377">
        <v>1</v>
      </c>
      <c r="AE30" s="377">
        <v>1</v>
      </c>
      <c r="AF30" s="377">
        <v>2</v>
      </c>
      <c r="AG30" s="377">
        <v>1</v>
      </c>
      <c r="AH30" s="1043"/>
      <c r="AJ30" s="1043"/>
      <c r="AK30" s="28" t="s">
        <v>194</v>
      </c>
      <c r="AL30" s="1046"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4387</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4460</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4479</v>
      </c>
      <c r="AC31" s="377">
        <v>2</v>
      </c>
      <c r="AD31" s="377">
        <v>1</v>
      </c>
      <c r="AE31" s="377">
        <v>1</v>
      </c>
      <c r="AF31" s="377">
        <v>2</v>
      </c>
      <c r="AG31" s="377">
        <v>1</v>
      </c>
      <c r="AH31" s="1043"/>
      <c r="AJ31" s="1043"/>
      <c r="AK31" s="48" t="s">
        <v>108</v>
      </c>
      <c r="AL31" s="1046"/>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4487</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4480</v>
      </c>
      <c r="AC32" s="377">
        <v>2</v>
      </c>
      <c r="AD32" s="377">
        <v>1</v>
      </c>
      <c r="AE32" s="377">
        <v>1</v>
      </c>
      <c r="AF32" s="377">
        <v>2</v>
      </c>
      <c r="AG32" s="377">
        <v>1</v>
      </c>
      <c r="AH32" s="1043"/>
      <c r="AJ32" s="1043"/>
      <c r="AK32" s="48" t="s">
        <v>107</v>
      </c>
      <c r="AL32" s="1046"/>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4385</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4488</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4480</v>
      </c>
      <c r="AC33" s="377">
        <v>2</v>
      </c>
      <c r="AD33" s="377">
        <v>1</v>
      </c>
      <c r="AE33" s="377">
        <v>1</v>
      </c>
      <c r="AF33" s="377">
        <v>2</v>
      </c>
      <c r="AG33" s="377">
        <v>1</v>
      </c>
      <c r="AH33" s="1043"/>
      <c r="AJ33" s="1043"/>
      <c r="AK33" s="48" t="s">
        <v>131</v>
      </c>
      <c r="AL33" s="1046"/>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4461</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0">
        <f>SUM(F34:Z35)/('Background Data'!V90/'Background Data'!V137)</f>
        <v>1.0390271612067861</v>
      </c>
      <c r="AB34" s="52" t="s">
        <v>4481</v>
      </c>
      <c r="AC34" s="377">
        <v>2</v>
      </c>
      <c r="AD34" s="377">
        <v>1</v>
      </c>
      <c r="AE34" s="377">
        <v>1</v>
      </c>
      <c r="AF34" s="377">
        <v>2</v>
      </c>
      <c r="AG34" s="377">
        <v>1</v>
      </c>
      <c r="AH34" s="1043"/>
      <c r="AJ34" s="1043"/>
      <c r="AK34" s="48" t="s">
        <v>132</v>
      </c>
      <c r="AL34" s="1046"/>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4387</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4462</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0"/>
      <c r="AB35" s="52" t="s">
        <v>4481</v>
      </c>
      <c r="AC35" s="377">
        <v>2</v>
      </c>
      <c r="AD35" s="377">
        <v>1</v>
      </c>
      <c r="AE35" s="377">
        <v>1</v>
      </c>
      <c r="AF35" s="377">
        <v>2</v>
      </c>
      <c r="AG35" s="377">
        <v>1</v>
      </c>
      <c r="AH35" s="1043"/>
      <c r="AJ35" s="1043"/>
      <c r="AK35" s="48" t="s">
        <v>133</v>
      </c>
      <c r="AL35" s="1046"/>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4768</v>
      </c>
      <c r="B36" t="s">
        <v>95</v>
      </c>
      <c r="E36" s="52" t="s">
        <v>2915</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4483</v>
      </c>
      <c r="AH36" s="1043"/>
      <c r="AJ36" s="1043"/>
      <c r="AK36" s="28" t="s">
        <v>195</v>
      </c>
      <c r="AL36" s="1046"/>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4385</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4769</v>
      </c>
      <c r="B37" t="s">
        <v>95</v>
      </c>
      <c r="E37" s="52" t="s">
        <v>2915</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4776</v>
      </c>
      <c r="AH37" s="1043"/>
      <c r="AJ37" s="1043"/>
      <c r="AK37" s="48" t="s">
        <v>108</v>
      </c>
      <c r="AL37" s="1046"/>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2915</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4483</v>
      </c>
      <c r="AH38" s="1043"/>
      <c r="AJ38" s="1043"/>
      <c r="AK38" s="48" t="s">
        <v>107</v>
      </c>
      <c r="AL38" s="1046"/>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4387</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43"/>
      <c r="AJ39" s="1043"/>
      <c r="AK39" s="17" t="s">
        <v>131</v>
      </c>
      <c r="AL39" s="1046"/>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43"/>
      <c r="AJ40" s="1043"/>
      <c r="AK40" s="48" t="s">
        <v>132</v>
      </c>
      <c r="AL40" s="1046"/>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4385</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43"/>
      <c r="AJ41" s="1043"/>
      <c r="AK41" s="48" t="s">
        <v>133</v>
      </c>
      <c r="AL41" s="1046"/>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43"/>
      <c r="AJ42" s="1043"/>
      <c r="BH42" s="75" t="s">
        <v>4387</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43"/>
      <c r="AJ43" s="1043"/>
      <c r="AK43" s="1036" t="s">
        <v>649</v>
      </c>
      <c r="AL43" s="1036"/>
      <c r="AM43" s="1036"/>
      <c r="AN43" s="1036"/>
      <c r="AO43" s="1036"/>
      <c r="AP43" s="1036"/>
      <c r="AQ43" s="1036"/>
      <c r="AR43" s="1036"/>
      <c r="AS43" s="1036"/>
      <c r="AT43" s="1036"/>
      <c r="AU43" s="1036"/>
      <c r="AV43" s="1036"/>
      <c r="AW43" s="1036"/>
      <c r="AX43" s="1036"/>
      <c r="AY43" s="1036"/>
      <c r="AZ43" s="1036"/>
      <c r="BA43" s="1036"/>
      <c r="BB43" s="1036"/>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43"/>
      <c r="AJ44" s="1043"/>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4385</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43"/>
      <c r="AJ45" s="1043"/>
      <c r="AK45" s="28" t="s">
        <v>47</v>
      </c>
      <c r="AL45" s="1045" t="s">
        <v>4261</v>
      </c>
      <c r="AM45" s="1045" t="s">
        <v>276</v>
      </c>
      <c r="AN45" s="1045"/>
      <c r="AO45" s="1045"/>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43"/>
      <c r="AJ46" s="1043"/>
      <c r="AK46" s="48" t="s">
        <v>108</v>
      </c>
      <c r="AL46" s="1046"/>
      <c r="AM46" s="1046"/>
      <c r="AN46" s="1046"/>
      <c r="AO46" s="1046"/>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4387</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43"/>
      <c r="AJ47" s="1043"/>
      <c r="AK47" s="48" t="s">
        <v>107</v>
      </c>
      <c r="AL47" s="1046"/>
      <c r="AM47" s="1046"/>
      <c r="AN47" s="1046"/>
      <c r="AO47" s="1046"/>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43"/>
      <c r="AJ48" s="1043"/>
      <c r="AK48" s="48" t="s">
        <v>241</v>
      </c>
      <c r="AL48" s="1046"/>
      <c r="AM48" s="1046"/>
      <c r="AN48" s="1046"/>
      <c r="AO48" s="1046"/>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4385</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43"/>
      <c r="AJ49" s="1043"/>
      <c r="AK49" s="28" t="s">
        <v>269</v>
      </c>
      <c r="AL49" s="1046"/>
      <c r="AM49" s="1046"/>
      <c r="AN49" s="1046"/>
      <c r="AO49" s="1046"/>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43"/>
      <c r="AJ50" s="1043"/>
      <c r="AK50" s="48" t="s">
        <v>108</v>
      </c>
      <c r="AL50" s="1046"/>
      <c r="AM50" s="1046"/>
      <c r="AN50" s="1046"/>
      <c r="AO50" s="1046"/>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4387</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46"/>
      <c r="AM51" s="1046"/>
      <c r="AN51" s="1046"/>
      <c r="AO51" s="1046"/>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46"/>
      <c r="AM52" s="1046"/>
      <c r="AN52" s="1046"/>
      <c r="AO52" s="1046"/>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46"/>
      <c r="AM53" s="1046"/>
      <c r="AN53" s="1046"/>
      <c r="AO53" s="1046"/>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46"/>
      <c r="AM54" s="1046"/>
      <c r="AN54" s="1046"/>
      <c r="AO54" s="1046"/>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46"/>
      <c r="AM55" s="1046"/>
      <c r="AN55" s="1046"/>
      <c r="AO55" s="1046"/>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46"/>
      <c r="AM56" s="1046"/>
      <c r="AN56" s="1046"/>
      <c r="AO56" s="1046"/>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4258</v>
      </c>
      <c r="AL58" s="838"/>
      <c r="AM58" s="837"/>
      <c r="AO58" s="294" t="s">
        <v>4265</v>
      </c>
      <c r="AP58" s="70"/>
      <c r="AQ58" s="295"/>
      <c r="AS58" s="294" t="s">
        <v>4268</v>
      </c>
      <c r="AT58" s="70"/>
      <c r="AU58" s="70"/>
      <c r="AV58" s="295"/>
      <c r="AZ58" s="294" t="s">
        <v>4270</v>
      </c>
      <c r="BA58" s="70"/>
      <c r="BB58" s="295"/>
      <c r="BD58" s="294" t="s">
        <v>4273</v>
      </c>
      <c r="BE58" s="70"/>
      <c r="BF58" s="70"/>
      <c r="BG58" s="295"/>
    </row>
    <row r="59" spans="34:82" ht="15.75" thickBot="1" x14ac:dyDescent="0.3">
      <c r="AK59" s="232" t="s">
        <v>4249</v>
      </c>
      <c r="AL59" s="88">
        <v>2021</v>
      </c>
      <c r="AM59" s="378" t="s">
        <v>4255</v>
      </c>
      <c r="AO59" s="232" t="s">
        <v>4249</v>
      </c>
      <c r="AP59" s="88" t="s">
        <v>4257</v>
      </c>
      <c r="AQ59" s="378" t="s">
        <v>4264</v>
      </c>
      <c r="AS59" s="232" t="s">
        <v>4249</v>
      </c>
      <c r="AT59" s="88" t="s">
        <v>4269</v>
      </c>
      <c r="AU59" s="299" t="s">
        <v>4266</v>
      </c>
      <c r="AV59" s="378" t="s">
        <v>4267</v>
      </c>
      <c r="AY59" s="28"/>
      <c r="AZ59" s="232" t="s">
        <v>4249</v>
      </c>
      <c r="BA59" s="88" t="s">
        <v>4271</v>
      </c>
      <c r="BB59" s="378" t="s">
        <v>4272</v>
      </c>
      <c r="BD59" s="232" t="s">
        <v>4249</v>
      </c>
      <c r="BE59" s="88" t="s">
        <v>4269</v>
      </c>
      <c r="BF59" s="299" t="s">
        <v>4266</v>
      </c>
      <c r="BG59" s="378" t="s">
        <v>4267</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4586</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4249</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4250</v>
      </c>
      <c r="AL81" s="427">
        <f>'Background Data'!X9</f>
        <v>12.577</v>
      </c>
      <c r="AM81" s="428">
        <f t="shared" si="40"/>
        <v>12.6</v>
      </c>
    </row>
    <row r="82" spans="37:49" ht="15.75" thickBot="1" x14ac:dyDescent="0.3"/>
    <row r="83" spans="37:49" x14ac:dyDescent="0.25">
      <c r="AK83" s="836" t="s">
        <v>4782</v>
      </c>
      <c r="AL83" s="838"/>
      <c r="AM83" s="837"/>
      <c r="AO83" s="836" t="s">
        <v>4783</v>
      </c>
      <c r="AP83" s="838"/>
      <c r="AQ83" s="838"/>
      <c r="AS83" s="294" t="s">
        <v>4789</v>
      </c>
      <c r="AT83" s="70"/>
      <c r="AU83" s="70"/>
      <c r="AV83" s="295"/>
    </row>
    <row r="84" spans="37:49" ht="15.75" thickBot="1" x14ac:dyDescent="0.3">
      <c r="AK84" s="232" t="s">
        <v>4249</v>
      </c>
      <c r="AL84" s="88" t="s">
        <v>4787</v>
      </c>
      <c r="AM84" s="378" t="s">
        <v>4256</v>
      </c>
      <c r="AO84" s="232" t="s">
        <v>4249</v>
      </c>
      <c r="AP84" s="88" t="s">
        <v>4787</v>
      </c>
      <c r="AQ84" s="378" t="s">
        <v>4256</v>
      </c>
      <c r="AS84" s="232" t="s">
        <v>4788</v>
      </c>
      <c r="AT84" s="88" t="s">
        <v>4790</v>
      </c>
      <c r="AU84" s="88" t="s">
        <v>4791</v>
      </c>
      <c r="AV84" s="378" t="s">
        <v>4792</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4784</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4786</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4785</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4784</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4786</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4785</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4784</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4786</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4785</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4250</v>
      </c>
      <c r="AL106" s="839">
        <v>1</v>
      </c>
      <c r="AM106" s="841">
        <f t="shared" si="51"/>
        <v>1</v>
      </c>
      <c r="AO106" s="381" t="s">
        <v>4784</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4250</v>
      </c>
      <c r="AP107" s="839">
        <v>1</v>
      </c>
      <c r="AQ107" s="841">
        <f>ROUND(AP107, 4)</f>
        <v>1</v>
      </c>
      <c r="AU107" s="30">
        <f>SUM(AU104:AU106)</f>
        <v>1</v>
      </c>
      <c r="AW107" s="1003" cm="1">
        <f t="array" ref="AW107">SUM(ABS(AW102:AW106))</f>
        <v>8.274599685030885E-3</v>
      </c>
    </row>
    <row r="108" spans="37:49" x14ac:dyDescent="0.25">
      <c r="AK108" s="836" t="s">
        <v>4260</v>
      </c>
      <c r="AL108" s="70"/>
      <c r="AM108" s="295"/>
    </row>
    <row r="109" spans="37:49" ht="15.75" thickBot="1" x14ac:dyDescent="0.3">
      <c r="AK109" s="232" t="s">
        <v>4249</v>
      </c>
      <c r="AL109" s="88">
        <v>2021</v>
      </c>
      <c r="AM109" s="378" t="s">
        <v>4255</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49" x14ac:dyDescent="0.25">
      <c r="AK113" s="381" t="s">
        <v>241</v>
      </c>
      <c r="AL113" s="40">
        <f t="shared" si="56"/>
        <v>0.19180661311565528</v>
      </c>
      <c r="AM113" s="845">
        <f t="shared" si="57"/>
        <v>0.1</v>
      </c>
    </row>
    <row r="114" spans="37:49" x14ac:dyDescent="0.25">
      <c r="AK114" s="379" t="s">
        <v>269</v>
      </c>
      <c r="AM114" s="846"/>
    </row>
    <row r="115" spans="37:49" x14ac:dyDescent="0.25">
      <c r="AK115" s="381" t="s">
        <v>108</v>
      </c>
      <c r="AL115" s="40">
        <f>BC50/BC$49</f>
        <v>1.3256729092925745E-2</v>
      </c>
      <c r="AM115" s="845">
        <f t="shared" ref="AM115:AM121" si="58">ROUNDDOWN(AL115, 1)</f>
        <v>0</v>
      </c>
    </row>
    <row r="116" spans="37:49" x14ac:dyDescent="0.25">
      <c r="AK116" s="381" t="s">
        <v>107</v>
      </c>
      <c r="AL116" s="40">
        <f t="shared" ref="AL116:AL118" si="59">BC51/BC$49</f>
        <v>0.51980487122308905</v>
      </c>
      <c r="AM116" s="845">
        <f t="shared" si="58"/>
        <v>0.5</v>
      </c>
    </row>
    <row r="117" spans="37:49" x14ac:dyDescent="0.25">
      <c r="AK117" s="381" t="s">
        <v>241</v>
      </c>
      <c r="AL117" s="40">
        <f t="shared" si="59"/>
        <v>1.4316965013294188E-2</v>
      </c>
      <c r="AM117" s="845">
        <f t="shared" si="58"/>
        <v>0</v>
      </c>
    </row>
    <row r="118" spans="37:49" x14ac:dyDescent="0.25">
      <c r="AK118" s="381" t="s">
        <v>53</v>
      </c>
      <c r="AL118" s="40">
        <f t="shared" si="59"/>
        <v>0.45262143467069105</v>
      </c>
      <c r="AM118" s="845">
        <f t="shared" si="58"/>
        <v>0.4</v>
      </c>
    </row>
    <row r="119" spans="37:49" x14ac:dyDescent="0.25">
      <c r="AK119" s="379" t="s">
        <v>287</v>
      </c>
      <c r="AM119" s="846"/>
    </row>
    <row r="120" spans="37:49" x14ac:dyDescent="0.25">
      <c r="AK120" s="381" t="s">
        <v>108</v>
      </c>
      <c r="AL120" s="40">
        <f>BC55/BC$54</f>
        <v>0.16854177949371954</v>
      </c>
      <c r="AM120" s="845">
        <f t="shared" si="58"/>
        <v>0.1</v>
      </c>
    </row>
    <row r="121" spans="37:49" ht="15.75" thickBot="1" x14ac:dyDescent="0.3">
      <c r="AK121" s="388" t="s">
        <v>107</v>
      </c>
      <c r="AL121" s="839">
        <f>BC56/BC$54</f>
        <v>0.83145822050628049</v>
      </c>
      <c r="AM121" s="847">
        <f t="shared" si="58"/>
        <v>0.8</v>
      </c>
    </row>
    <row r="123" spans="37:49" ht="15.75" thickBot="1" x14ac:dyDescent="0.3">
      <c r="AO123" s="28" t="s">
        <v>4871</v>
      </c>
      <c r="AP123" s="28"/>
      <c r="AQ123" s="28"/>
      <c r="AR123" s="28"/>
      <c r="AS123" s="28"/>
      <c r="AU123" s="28" t="s">
        <v>4871</v>
      </c>
      <c r="AV123" s="28"/>
      <c r="AW123" s="28"/>
    </row>
    <row r="124" spans="37:49" ht="15.75" thickBot="1" x14ac:dyDescent="0.3">
      <c r="AK124" s="294" t="s">
        <v>4873</v>
      </c>
      <c r="AL124" s="410"/>
      <c r="AO124" s="88" t="s">
        <v>4249</v>
      </c>
      <c r="AP124" s="88" t="s">
        <v>4868</v>
      </c>
      <c r="AQ124" s="88" t="s">
        <v>4869</v>
      </c>
      <c r="AR124" s="88" t="s">
        <v>4870</v>
      </c>
      <c r="AS124" s="88" t="s">
        <v>4872</v>
      </c>
      <c r="AU124" s="88" t="s">
        <v>92</v>
      </c>
      <c r="AV124" s="88" t="s">
        <v>4870</v>
      </c>
      <c r="AW124" s="88" t="s">
        <v>4872</v>
      </c>
    </row>
    <row r="125" spans="37:49" ht="16.5" thickTop="1" thickBot="1" x14ac:dyDescent="0.3">
      <c r="AK125" s="232" t="s">
        <v>92</v>
      </c>
      <c r="AL125" s="378" t="s">
        <v>4874</v>
      </c>
      <c r="AO125" t="s">
        <v>4864</v>
      </c>
      <c r="AP125" t="s">
        <v>247</v>
      </c>
      <c r="AQ125" t="s">
        <v>2997</v>
      </c>
      <c r="AR125">
        <v>3485</v>
      </c>
      <c r="AS125" s="85">
        <f>AR125/SUM($AR$125:$AR$128)</f>
        <v>7.5981877722593105E-3</v>
      </c>
      <c r="AU125" t="s">
        <v>4875</v>
      </c>
    </row>
    <row r="126" spans="37:49" ht="15.75" thickTop="1" x14ac:dyDescent="0.25">
      <c r="AK126" s="64" t="s">
        <v>4395</v>
      </c>
      <c r="AL126" s="845">
        <f>ROUND(AS125, 3)</f>
        <v>8.0000000000000002E-3</v>
      </c>
      <c r="AO126" t="s">
        <v>4864</v>
      </c>
      <c r="AP126" t="s">
        <v>247</v>
      </c>
      <c r="AQ126" t="s">
        <v>883</v>
      </c>
      <c r="AR126">
        <v>69311</v>
      </c>
      <c r="AS126" s="85">
        <f t="shared" ref="AS126:AS128" si="60">AR126/SUM($AR$125:$AR$128)</f>
        <v>0.15111563635095124</v>
      </c>
      <c r="AU126" s="75" t="s">
        <v>4876</v>
      </c>
      <c r="AV126" s="13">
        <v>3485</v>
      </c>
      <c r="AW126" s="85">
        <f>AV126/SUM($AR$125:$AR$128)</f>
        <v>7.5981877722593105E-3</v>
      </c>
    </row>
    <row r="127" spans="37:49" x14ac:dyDescent="0.25">
      <c r="AK127" s="64" t="s">
        <v>1010</v>
      </c>
      <c r="AL127" s="845">
        <f t="shared" ref="AL127:AL131" si="61">ROUND(AS126, 3)</f>
        <v>0.151</v>
      </c>
      <c r="AO127" t="s">
        <v>4864</v>
      </c>
      <c r="AP127" t="s">
        <v>247</v>
      </c>
      <c r="AQ127" t="s">
        <v>884</v>
      </c>
      <c r="AR127">
        <v>232150</v>
      </c>
      <c r="AS127" s="85">
        <f t="shared" si="60"/>
        <v>0.50614613811477738</v>
      </c>
      <c r="AU127" s="75" t="s">
        <v>4877</v>
      </c>
      <c r="AV127" s="13">
        <v>69311</v>
      </c>
      <c r="AW127" s="85">
        <f t="shared" ref="AW127:AW129" si="62">AV127/SUM($AR$125:$AR$128)</f>
        <v>0.15111563635095124</v>
      </c>
    </row>
    <row r="128" spans="37:49" x14ac:dyDescent="0.25">
      <c r="AK128" s="64" t="s">
        <v>1011</v>
      </c>
      <c r="AL128" s="845">
        <f t="shared" si="61"/>
        <v>0.50600000000000001</v>
      </c>
      <c r="AO128" s="202" t="s">
        <v>4864</v>
      </c>
      <c r="AP128" s="202" t="s">
        <v>247</v>
      </c>
      <c r="AQ128" s="202" t="s">
        <v>885</v>
      </c>
      <c r="AR128" s="202">
        <v>153716</v>
      </c>
      <c r="AS128" s="598">
        <f t="shared" si="60"/>
        <v>0.33514003776201212</v>
      </c>
      <c r="AU128" s="75" t="s">
        <v>4878</v>
      </c>
      <c r="AV128" s="13">
        <v>232150</v>
      </c>
      <c r="AW128" s="85">
        <f t="shared" si="62"/>
        <v>0.50614613811477738</v>
      </c>
    </row>
    <row r="129" spans="37:49" x14ac:dyDescent="0.25">
      <c r="AK129" s="64" t="s">
        <v>1012</v>
      </c>
      <c r="AL129" s="845">
        <f t="shared" si="61"/>
        <v>0.33500000000000002</v>
      </c>
      <c r="AO129" t="s">
        <v>4864</v>
      </c>
      <c r="AP129" t="s">
        <v>758</v>
      </c>
      <c r="AQ129" t="s">
        <v>4865</v>
      </c>
      <c r="AR129">
        <v>39483</v>
      </c>
      <c r="AS129" s="85">
        <f>AR129/SUM($AR$129:$AR$130)</f>
        <v>0.80100219102491277</v>
      </c>
      <c r="AU129" s="288" t="s">
        <v>4879</v>
      </c>
      <c r="AV129" s="20">
        <v>153716</v>
      </c>
      <c r="AW129" s="598">
        <f t="shared" si="62"/>
        <v>0.33514003776201212</v>
      </c>
    </row>
    <row r="130" spans="37:49" x14ac:dyDescent="0.25">
      <c r="AK130" s="64" t="s">
        <v>4390</v>
      </c>
      <c r="AL130" s="845">
        <f t="shared" si="61"/>
        <v>0.80100000000000005</v>
      </c>
      <c r="AO130" s="202" t="s">
        <v>4864</v>
      </c>
      <c r="AP130" s="202" t="s">
        <v>758</v>
      </c>
      <c r="AQ130" s="202" t="s">
        <v>4866</v>
      </c>
      <c r="AR130" s="202">
        <v>9809</v>
      </c>
      <c r="AS130" s="598">
        <f>AR130/SUM($AR$129:$AR$130)</f>
        <v>0.19899780897508723</v>
      </c>
      <c r="AU130" s="1035" t="s">
        <v>4880</v>
      </c>
    </row>
    <row r="131" spans="37:49" x14ac:dyDescent="0.25">
      <c r="AK131" s="64" t="s">
        <v>1009</v>
      </c>
      <c r="AL131" s="845">
        <f t="shared" si="61"/>
        <v>0.19900000000000001</v>
      </c>
      <c r="AO131" t="s">
        <v>4867</v>
      </c>
      <c r="AP131" t="s">
        <v>247</v>
      </c>
      <c r="AQ131" t="s">
        <v>883</v>
      </c>
      <c r="AR131">
        <v>22193</v>
      </c>
      <c r="AS131" s="85">
        <f>AR131/SUM($AR$131:$AR$132)</f>
        <v>0.10503622999777557</v>
      </c>
      <c r="AU131" s="75" t="s">
        <v>4881</v>
      </c>
      <c r="AV131" s="13">
        <v>39483</v>
      </c>
      <c r="AW131" s="85">
        <f>AV131/SUM($AR$129:$AR$130)</f>
        <v>0.80100219102491277</v>
      </c>
    </row>
    <row r="132" spans="37:49" x14ac:dyDescent="0.25">
      <c r="AK132" s="64" t="s">
        <v>4396</v>
      </c>
      <c r="AL132" s="856">
        <v>0</v>
      </c>
      <c r="AO132" s="202" t="s">
        <v>4867</v>
      </c>
      <c r="AP132" s="202" t="s">
        <v>247</v>
      </c>
      <c r="AQ132" s="202" t="s">
        <v>884</v>
      </c>
      <c r="AR132" s="202">
        <v>189096</v>
      </c>
      <c r="AS132" s="598">
        <f>AR132/SUM($AR$131:$AR$132)</f>
        <v>0.89496377000222449</v>
      </c>
      <c r="AU132" s="288" t="s">
        <v>4882</v>
      </c>
      <c r="AV132" s="20">
        <v>9809</v>
      </c>
      <c r="AW132" s="598">
        <f>AV132/SUM($AR$129:$AR$130)</f>
        <v>0.19899780897508723</v>
      </c>
    </row>
    <row r="133" spans="37:49" x14ac:dyDescent="0.25">
      <c r="AK133" s="64" t="s">
        <v>1020</v>
      </c>
      <c r="AL133" s="845">
        <f>ROUND(AS131, 3)</f>
        <v>0.105</v>
      </c>
      <c r="AO133" t="s">
        <v>4867</v>
      </c>
      <c r="AP133" t="s">
        <v>758</v>
      </c>
      <c r="AQ133" t="s">
        <v>4865</v>
      </c>
      <c r="AR133">
        <v>116798</v>
      </c>
      <c r="AS133" s="85">
        <f>AR133/SUM($AR$133:$AR$134)</f>
        <v>0.8568305529879543</v>
      </c>
      <c r="AU133" t="s">
        <v>4883</v>
      </c>
    </row>
    <row r="134" spans="37:49" x14ac:dyDescent="0.25">
      <c r="AK134" s="64" t="s">
        <v>1021</v>
      </c>
      <c r="AL134" s="845">
        <f>ROUND(AS132, 3)</f>
        <v>0.89500000000000002</v>
      </c>
      <c r="AO134" t="s">
        <v>4867</v>
      </c>
      <c r="AP134" t="s">
        <v>758</v>
      </c>
      <c r="AQ134" t="s">
        <v>4866</v>
      </c>
      <c r="AR134">
        <v>19516</v>
      </c>
      <c r="AS134" s="85">
        <f>AR134/SUM($AR$133:$AR$134)</f>
        <v>0.14316944701204573</v>
      </c>
      <c r="AU134" s="75" t="s">
        <v>4877</v>
      </c>
      <c r="AV134" s="13">
        <v>22193</v>
      </c>
      <c r="AW134" s="85">
        <f>AV134/SUM($AR$131:$AR$132)</f>
        <v>0.10503622999777557</v>
      </c>
    </row>
    <row r="135" spans="37:49" x14ac:dyDescent="0.25">
      <c r="AK135" s="64" t="s">
        <v>1022</v>
      </c>
      <c r="AL135" s="856">
        <v>0</v>
      </c>
      <c r="AU135" s="288" t="s">
        <v>4878</v>
      </c>
      <c r="AV135" s="20">
        <v>189096</v>
      </c>
      <c r="AW135" s="598">
        <f>AV135/SUM($AR$131:$AR$132)</f>
        <v>0.89496377000222449</v>
      </c>
    </row>
    <row r="136" spans="37:49" x14ac:dyDescent="0.25">
      <c r="AK136" s="64" t="s">
        <v>4391</v>
      </c>
      <c r="AL136" s="845">
        <f>ROUND(AS133, 3)</f>
        <v>0.85699999999999998</v>
      </c>
      <c r="AU136" s="1035" t="s">
        <v>4884</v>
      </c>
    </row>
    <row r="137" spans="37:49" x14ac:dyDescent="0.25">
      <c r="AK137" s="64" t="s">
        <v>1019</v>
      </c>
      <c r="AL137" s="845">
        <f>ROUND(AS134, 3)</f>
        <v>0.14299999999999999</v>
      </c>
      <c r="AU137" s="75" t="s">
        <v>4881</v>
      </c>
      <c r="AV137" s="13">
        <v>116798</v>
      </c>
      <c r="AW137" s="85">
        <f>AV137/SUM($AR$133:$AR$134)</f>
        <v>0.8568305529879543</v>
      </c>
    </row>
    <row r="138" spans="37:49" x14ac:dyDescent="0.25">
      <c r="AK138" s="64" t="s">
        <v>4397</v>
      </c>
      <c r="AL138" s="845">
        <f>AL132</f>
        <v>0</v>
      </c>
      <c r="AU138" s="75" t="s">
        <v>4882</v>
      </c>
      <c r="AV138" s="13">
        <v>19516</v>
      </c>
      <c r="AW138" s="85">
        <f>AV138/SUM($AR$133:$AR$134)</f>
        <v>0.14316944701204573</v>
      </c>
    </row>
    <row r="139" spans="37:49" x14ac:dyDescent="0.25">
      <c r="AK139" s="64" t="s">
        <v>1038</v>
      </c>
      <c r="AL139" s="845">
        <f t="shared" ref="AL139:AL143" si="63">AL133</f>
        <v>0.105</v>
      </c>
    </row>
    <row r="140" spans="37:49" x14ac:dyDescent="0.25">
      <c r="AK140" s="64" t="s">
        <v>1039</v>
      </c>
      <c r="AL140" s="845">
        <f t="shared" si="63"/>
        <v>0.89500000000000002</v>
      </c>
    </row>
    <row r="141" spans="37:49" x14ac:dyDescent="0.25">
      <c r="AK141" s="64" t="s">
        <v>1040</v>
      </c>
      <c r="AL141" s="845">
        <f t="shared" si="63"/>
        <v>0</v>
      </c>
    </row>
    <row r="142" spans="37:49" x14ac:dyDescent="0.25">
      <c r="AK142" s="64" t="s">
        <v>4392</v>
      </c>
      <c r="AL142" s="845">
        <f t="shared" si="63"/>
        <v>0.85699999999999998</v>
      </c>
    </row>
    <row r="143" spans="37:49" ht="15.75" thickBot="1" x14ac:dyDescent="0.3">
      <c r="AK143" s="67" t="s">
        <v>1037</v>
      </c>
      <c r="AL143" s="847">
        <f t="shared" si="63"/>
        <v>0.14299999999999999</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4597</v>
      </c>
      <c r="B1" s="28"/>
      <c r="C1" s="28"/>
      <c r="D1" s="28"/>
      <c r="G1" s="28" t="s">
        <v>4605</v>
      </c>
      <c r="H1" s="28"/>
      <c r="I1" s="28"/>
      <c r="J1" s="28"/>
      <c r="R1" s="28" t="s">
        <v>4601</v>
      </c>
      <c r="S1" s="28"/>
      <c r="T1" s="28"/>
      <c r="U1" s="28"/>
      <c r="X1" s="28" t="s">
        <v>4603</v>
      </c>
      <c r="Y1" s="28"/>
      <c r="Z1" s="28"/>
      <c r="AA1" s="28"/>
    </row>
    <row r="2" spans="1:43" s="906" customFormat="1" ht="30.75" thickBot="1" x14ac:dyDescent="0.3">
      <c r="A2" s="906" t="s">
        <v>1502</v>
      </c>
      <c r="B2" s="906" t="s">
        <v>4595</v>
      </c>
      <c r="C2" s="906" t="s">
        <v>4594</v>
      </c>
      <c r="D2" s="906" t="s">
        <v>4596</v>
      </c>
      <c r="G2" s="758" t="s">
        <v>1502</v>
      </c>
      <c r="H2" s="758" t="s">
        <v>4595</v>
      </c>
      <c r="I2" s="758" t="s">
        <v>4594</v>
      </c>
      <c r="J2" s="758" t="s">
        <v>4593</v>
      </c>
      <c r="R2" s="758" t="s">
        <v>1502</v>
      </c>
      <c r="S2" s="758" t="s">
        <v>4595</v>
      </c>
      <c r="T2" s="758" t="s">
        <v>4594</v>
      </c>
      <c r="U2" s="758" t="s">
        <v>4600</v>
      </c>
      <c r="V2" s="758" t="s">
        <v>4607</v>
      </c>
      <c r="X2" s="758" t="s">
        <v>1502</v>
      </c>
      <c r="Y2" s="758" t="s">
        <v>4595</v>
      </c>
      <c r="Z2" s="758" t="s">
        <v>4594</v>
      </c>
      <c r="AA2" s="758" t="s">
        <v>4600</v>
      </c>
      <c r="AB2" s="758" t="s">
        <v>4608</v>
      </c>
      <c r="AD2" s="906" t="s">
        <v>4808</v>
      </c>
      <c r="AE2" s="906" t="s">
        <v>4809</v>
      </c>
      <c r="AF2" s="906" t="s">
        <v>4810</v>
      </c>
      <c r="AG2" s="906" t="s">
        <v>4811</v>
      </c>
      <c r="AH2" s="906" t="s">
        <v>4812</v>
      </c>
      <c r="AI2" s="906" t="s">
        <v>4813</v>
      </c>
      <c r="AJ2" s="906" t="s">
        <v>4814</v>
      </c>
      <c r="AK2" s="906" t="s">
        <v>4815</v>
      </c>
      <c r="AL2" s="906" t="s">
        <v>4816</v>
      </c>
      <c r="AM2" s="906" t="s">
        <v>4817</v>
      </c>
      <c r="AN2" s="28" t="s">
        <v>4821</v>
      </c>
      <c r="AO2" s="28" t="s">
        <v>4822</v>
      </c>
      <c r="AP2" s="28" t="s">
        <v>4823</v>
      </c>
      <c r="AQ2"/>
    </row>
    <row r="3" spans="1:43" s="199" customFormat="1" ht="15.75" thickTop="1" x14ac:dyDescent="0.25">
      <c r="A3" s="199" t="s">
        <v>4599</v>
      </c>
      <c r="C3" s="71">
        <v>40.81691</v>
      </c>
      <c r="G3" s="944" t="s">
        <v>4598</v>
      </c>
      <c r="H3" s="944"/>
      <c r="I3" s="230">
        <v>40.799999999999997</v>
      </c>
      <c r="J3" s="944"/>
      <c r="R3" s="942" t="s">
        <v>4598</v>
      </c>
      <c r="S3" s="942"/>
      <c r="T3" s="943">
        <v>40.81691</v>
      </c>
      <c r="U3" s="943">
        <v>10.1</v>
      </c>
      <c r="V3" s="942"/>
      <c r="X3" s="942" t="s">
        <v>4598</v>
      </c>
      <c r="Y3" s="942"/>
      <c r="Z3" s="943">
        <v>40.81691</v>
      </c>
      <c r="AA3" s="943">
        <v>11.478999999999999</v>
      </c>
      <c r="AB3" s="942"/>
      <c r="AD3" t="s">
        <v>1007</v>
      </c>
      <c r="AE3" t="s">
        <v>17</v>
      </c>
      <c r="AF3" t="s">
        <v>4786</v>
      </c>
      <c r="AG3">
        <v>3070</v>
      </c>
      <c r="AH3">
        <v>96.504725252</v>
      </c>
      <c r="AI3">
        <v>7514.8108588969999</v>
      </c>
      <c r="AJ3" t="s">
        <v>4818</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4786</v>
      </c>
      <c r="AG4">
        <v>3070</v>
      </c>
      <c r="AH4">
        <v>96.504725252</v>
      </c>
      <c r="AI4">
        <v>7514.8108588969999</v>
      </c>
      <c r="AJ4" t="s">
        <v>4818</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4786</v>
      </c>
      <c r="AG5">
        <v>3070</v>
      </c>
      <c r="AH5">
        <v>96.504725252</v>
      </c>
      <c r="AI5">
        <v>7514.8108588969999</v>
      </c>
      <c r="AJ5" t="s">
        <v>4818</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4786</v>
      </c>
      <c r="AG6">
        <v>3070</v>
      </c>
      <c r="AH6">
        <v>96.504725252</v>
      </c>
      <c r="AI6">
        <v>7514.8108588969999</v>
      </c>
      <c r="AJ6" t="s">
        <v>4818</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4818</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4818</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4818</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4818</v>
      </c>
      <c r="AK10">
        <v>0.52981313100000005</v>
      </c>
      <c r="AL10">
        <v>2040</v>
      </c>
      <c r="AM10">
        <v>7487.636143795</v>
      </c>
      <c r="AN10">
        <v>4.0400197567909135E-3</v>
      </c>
      <c r="AO10">
        <v>0.13381687415204158</v>
      </c>
      <c r="AP10">
        <v>0.13381687415204158</v>
      </c>
    </row>
    <row r="11" spans="1:43" x14ac:dyDescent="0.25">
      <c r="AD11" t="s">
        <v>4395</v>
      </c>
      <c r="AE11" t="s">
        <v>17</v>
      </c>
      <c r="AF11" t="s">
        <v>4784</v>
      </c>
      <c r="AG11">
        <v>3070</v>
      </c>
      <c r="AH11">
        <v>59.087369746999997</v>
      </c>
      <c r="AI11">
        <v>7514.8108588969999</v>
      </c>
      <c r="AJ11" t="s">
        <v>4818</v>
      </c>
      <c r="AK11">
        <v>0.52981313100000005</v>
      </c>
      <c r="AL11">
        <v>2025</v>
      </c>
      <c r="AM11">
        <v>316.300483203</v>
      </c>
      <c r="AN11">
        <v>0.51509459007228675</v>
      </c>
      <c r="AO11">
        <v>4.3530980403652055</v>
      </c>
      <c r="AP11">
        <v>4.3530980403652055</v>
      </c>
    </row>
    <row r="12" spans="1:43" x14ac:dyDescent="0.25">
      <c r="AD12" t="s">
        <v>4395</v>
      </c>
      <c r="AE12" t="s">
        <v>17</v>
      </c>
      <c r="AF12" t="s">
        <v>4784</v>
      </c>
      <c r="AG12">
        <v>3070</v>
      </c>
      <c r="AH12">
        <v>59.087369746999997</v>
      </c>
      <c r="AI12">
        <v>7514.8108588969999</v>
      </c>
      <c r="AJ12" t="s">
        <v>4818</v>
      </c>
      <c r="AK12">
        <v>0.52981313100000005</v>
      </c>
      <c r="AL12">
        <v>2030</v>
      </c>
      <c r="AM12">
        <v>2183.7287569119999</v>
      </c>
      <c r="AN12">
        <v>0.42150664611999544</v>
      </c>
      <c r="AO12">
        <v>5.9039690828119733</v>
      </c>
      <c r="AP12">
        <v>5.9039690828119733</v>
      </c>
    </row>
    <row r="13" spans="1:43" x14ac:dyDescent="0.25">
      <c r="AD13" t="s">
        <v>4395</v>
      </c>
      <c r="AE13" t="s">
        <v>17</v>
      </c>
      <c r="AF13" t="s">
        <v>4784</v>
      </c>
      <c r="AG13">
        <v>3070</v>
      </c>
      <c r="AH13">
        <v>59.087369746999997</v>
      </c>
      <c r="AI13">
        <v>7514.8108588969999</v>
      </c>
      <c r="AJ13" t="s">
        <v>4818</v>
      </c>
      <c r="AK13">
        <v>0.52981313100000005</v>
      </c>
      <c r="AL13">
        <v>2035</v>
      </c>
      <c r="AM13">
        <v>6534.5535115780003</v>
      </c>
      <c r="AN13">
        <v>0.11758140150097773</v>
      </c>
      <c r="AO13">
        <v>1.9923833218272411</v>
      </c>
      <c r="AP13">
        <v>1.9923833218272402</v>
      </c>
    </row>
    <row r="14" spans="1:43" x14ac:dyDescent="0.25">
      <c r="AD14" t="s">
        <v>4395</v>
      </c>
      <c r="AE14" t="s">
        <v>17</v>
      </c>
      <c r="AF14" t="s">
        <v>4784</v>
      </c>
      <c r="AG14">
        <v>3070</v>
      </c>
      <c r="AH14">
        <v>59.087369746999997</v>
      </c>
      <c r="AI14">
        <v>7514.8108588969999</v>
      </c>
      <c r="AJ14" t="s">
        <v>4818</v>
      </c>
      <c r="AK14">
        <v>0.52981313100000005</v>
      </c>
      <c r="AL14">
        <v>2040</v>
      </c>
      <c r="AM14">
        <v>7484.9538341320003</v>
      </c>
      <c r="AN14">
        <v>4.4350993863790933E-3</v>
      </c>
      <c r="AO14">
        <v>0.14544227403908616</v>
      </c>
      <c r="AP14">
        <v>0.14544227403908616</v>
      </c>
    </row>
    <row r="15" spans="1:43" x14ac:dyDescent="0.25">
      <c r="AD15" t="s">
        <v>4390</v>
      </c>
      <c r="AE15" t="s">
        <v>17</v>
      </c>
      <c r="AF15" t="s">
        <v>4819</v>
      </c>
      <c r="AG15">
        <v>3070</v>
      </c>
      <c r="AH15">
        <v>25.422725313000001</v>
      </c>
      <c r="AI15">
        <v>7514.8108588969999</v>
      </c>
      <c r="AJ15" t="s">
        <v>4818</v>
      </c>
      <c r="AK15">
        <v>0.52981313100000005</v>
      </c>
      <c r="AL15">
        <v>2025</v>
      </c>
      <c r="AM15">
        <v>137.87458172199999</v>
      </c>
      <c r="AN15">
        <v>0.5234324705207436</v>
      </c>
      <c r="AO15">
        <v>4.4232809435067661</v>
      </c>
      <c r="AP15">
        <v>4.4232809435067661</v>
      </c>
    </row>
    <row r="16" spans="1:43" x14ac:dyDescent="0.25">
      <c r="AD16" t="s">
        <v>4390</v>
      </c>
      <c r="AE16" t="s">
        <v>17</v>
      </c>
      <c r="AF16" t="s">
        <v>4819</v>
      </c>
      <c r="AG16">
        <v>3070</v>
      </c>
      <c r="AH16">
        <v>25.422725313000001</v>
      </c>
      <c r="AI16">
        <v>7514.8108588969999</v>
      </c>
      <c r="AJ16" t="s">
        <v>4818</v>
      </c>
      <c r="AK16">
        <v>0.52981313100000005</v>
      </c>
      <c r="AL16">
        <v>2030</v>
      </c>
      <c r="AM16">
        <v>1059.3249434090001</v>
      </c>
      <c r="AN16">
        <v>0.47932729064055191</v>
      </c>
      <c r="AO16">
        <v>6.6832504597906519</v>
      </c>
      <c r="AP16">
        <v>6.683250459790651</v>
      </c>
    </row>
    <row r="17" spans="1:43" x14ac:dyDescent="0.25">
      <c r="AD17" t="s">
        <v>4390</v>
      </c>
      <c r="AE17" t="s">
        <v>17</v>
      </c>
      <c r="AF17" t="s">
        <v>4819</v>
      </c>
      <c r="AG17">
        <v>3070</v>
      </c>
      <c r="AH17">
        <v>25.422725313000001</v>
      </c>
      <c r="AI17">
        <v>7514.8108588969999</v>
      </c>
      <c r="AJ17" t="s">
        <v>4818</v>
      </c>
      <c r="AK17">
        <v>0.52981313100000005</v>
      </c>
      <c r="AL17">
        <v>2035</v>
      </c>
      <c r="AM17">
        <v>4961.3883505670001</v>
      </c>
      <c r="AN17">
        <v>0.24997527630433325</v>
      </c>
      <c r="AO17">
        <v>3.6835377392330821</v>
      </c>
      <c r="AP17">
        <v>3.6835377392330813</v>
      </c>
    </row>
    <row r="18" spans="1:43" x14ac:dyDescent="0.25">
      <c r="AD18" t="s">
        <v>4390</v>
      </c>
      <c r="AE18" t="s">
        <v>17</v>
      </c>
      <c r="AF18" t="s">
        <v>4819</v>
      </c>
      <c r="AG18">
        <v>3070</v>
      </c>
      <c r="AH18">
        <v>25.422725313000001</v>
      </c>
      <c r="AI18">
        <v>7514.8108588969999</v>
      </c>
      <c r="AJ18" t="s">
        <v>4818</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4818</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4818</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4818</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4818</v>
      </c>
      <c r="AK22">
        <v>0.52981313100000005</v>
      </c>
      <c r="AL22">
        <v>2040</v>
      </c>
      <c r="AM22">
        <v>5690.7696749630004</v>
      </c>
      <c r="AN22">
        <v>0.19370538779175939</v>
      </c>
      <c r="AO22">
        <v>2.9716500402859158</v>
      </c>
      <c r="AP22">
        <v>2.9716500402859154</v>
      </c>
    </row>
    <row r="23" spans="1:43" x14ac:dyDescent="0.25">
      <c r="AD23" t="s">
        <v>4420</v>
      </c>
      <c r="AE23" t="s">
        <v>17</v>
      </c>
      <c r="AF23" t="s">
        <v>4820</v>
      </c>
      <c r="AG23">
        <v>3070</v>
      </c>
      <c r="AH23">
        <v>4.2727089679999999</v>
      </c>
      <c r="AI23">
        <v>7514.8108588969999</v>
      </c>
      <c r="AJ23" t="s">
        <v>4818</v>
      </c>
      <c r="AK23">
        <v>0.52981313100000005</v>
      </c>
      <c r="AL23">
        <v>2025</v>
      </c>
      <c r="AM23">
        <v>23.363313203000001</v>
      </c>
      <c r="AN23">
        <v>0.52873565768404185</v>
      </c>
      <c r="AO23">
        <v>4.4680328985608551</v>
      </c>
      <c r="AP23">
        <v>4.4680328985608551</v>
      </c>
    </row>
    <row r="24" spans="1:43" x14ac:dyDescent="0.25">
      <c r="AD24" t="s">
        <v>4420</v>
      </c>
      <c r="AE24" t="s">
        <v>17</v>
      </c>
      <c r="AF24" t="s">
        <v>4820</v>
      </c>
      <c r="AG24">
        <v>3070</v>
      </c>
      <c r="AH24">
        <v>4.2727089679999999</v>
      </c>
      <c r="AI24">
        <v>7514.8108588969999</v>
      </c>
      <c r="AJ24" t="s">
        <v>4818</v>
      </c>
      <c r="AK24">
        <v>0.52981313100000005</v>
      </c>
      <c r="AL24">
        <v>2030</v>
      </c>
      <c r="AM24">
        <v>192.857471989</v>
      </c>
      <c r="AN24">
        <v>0.52087291134332481</v>
      </c>
      <c r="AO24">
        <v>7.2547141457760294</v>
      </c>
      <c r="AP24">
        <v>7.2547141457760311</v>
      </c>
      <c r="AQ24" s="28" t="s">
        <v>4824</v>
      </c>
    </row>
    <row r="25" spans="1:43" x14ac:dyDescent="0.25">
      <c r="AD25" t="s">
        <v>4420</v>
      </c>
      <c r="AE25" t="s">
        <v>17</v>
      </c>
      <c r="AF25" t="s">
        <v>4820</v>
      </c>
      <c r="AG25">
        <v>3070</v>
      </c>
      <c r="AH25">
        <v>4.2727089679999999</v>
      </c>
      <c r="AI25">
        <v>7514.8108588969999</v>
      </c>
      <c r="AJ25" t="s">
        <v>4818</v>
      </c>
      <c r="AK25">
        <v>0.52981313100000005</v>
      </c>
      <c r="AL25">
        <v>2035</v>
      </c>
      <c r="AM25">
        <v>1432.847712472</v>
      </c>
      <c r="AN25">
        <v>0.46065269347435778</v>
      </c>
      <c r="AO25">
        <v>6.4295680519639147</v>
      </c>
      <c r="AP25">
        <v>6.4295680519639147</v>
      </c>
      <c r="AQ25">
        <v>7.3789948141348134</v>
      </c>
    </row>
    <row r="26" spans="1:43" x14ac:dyDescent="0.25">
      <c r="AD26" t="s">
        <v>4420</v>
      </c>
      <c r="AE26" t="s">
        <v>17</v>
      </c>
      <c r="AF26" t="s">
        <v>4820</v>
      </c>
      <c r="AG26">
        <v>3070</v>
      </c>
      <c r="AH26">
        <v>4.2727089679999999</v>
      </c>
      <c r="AI26">
        <v>7514.8108588969999</v>
      </c>
      <c r="AJ26" t="s">
        <v>4818</v>
      </c>
      <c r="AK26">
        <v>0.52981313100000005</v>
      </c>
      <c r="AL26">
        <v>2040</v>
      </c>
      <c r="AM26">
        <v>5690.7696749630004</v>
      </c>
      <c r="AN26">
        <v>0.19370538779175939</v>
      </c>
      <c r="AO26">
        <v>2.9716500402859158</v>
      </c>
      <c r="AP26">
        <v>2.9716500402859154</v>
      </c>
    </row>
    <row r="30" spans="1:43" x14ac:dyDescent="0.25">
      <c r="A30" s="28" t="s">
        <v>4592</v>
      </c>
      <c r="G30" s="28" t="s">
        <v>4591</v>
      </c>
      <c r="R30" s="28" t="s">
        <v>4601</v>
      </c>
      <c r="S30" s="28"/>
      <c r="T30" s="28"/>
      <c r="U30" s="28"/>
      <c r="X30" s="28" t="s">
        <v>4603</v>
      </c>
      <c r="Y30" s="28"/>
      <c r="Z30" s="28"/>
      <c r="AA30" s="28"/>
    </row>
    <row r="31" spans="1:43" ht="30.75" thickBot="1" x14ac:dyDescent="0.3">
      <c r="A31" s="906" t="s">
        <v>1502</v>
      </c>
      <c r="B31" s="906" t="s">
        <v>4589</v>
      </c>
      <c r="C31" s="906" t="s">
        <v>4588</v>
      </c>
      <c r="D31" s="906" t="s">
        <v>4590</v>
      </c>
      <c r="E31" s="906"/>
      <c r="F31" s="906"/>
      <c r="G31" s="758" t="s">
        <v>1502</v>
      </c>
      <c r="H31" s="758" t="s">
        <v>4589</v>
      </c>
      <c r="I31" s="758" t="s">
        <v>4588</v>
      </c>
      <c r="J31" s="758" t="s">
        <v>4587</v>
      </c>
      <c r="R31" s="758" t="s">
        <v>1502</v>
      </c>
      <c r="S31" s="758" t="s">
        <v>4589</v>
      </c>
      <c r="T31" s="758" t="s">
        <v>4588</v>
      </c>
      <c r="U31" s="758" t="s">
        <v>4602</v>
      </c>
      <c r="V31" s="758" t="s">
        <v>4606</v>
      </c>
      <c r="W31" s="906"/>
      <c r="X31" s="758" t="s">
        <v>1502</v>
      </c>
      <c r="Y31" s="758" t="s">
        <v>4589</v>
      </c>
      <c r="Z31" s="758" t="s">
        <v>4588</v>
      </c>
      <c r="AA31" s="758" t="s">
        <v>4602</v>
      </c>
      <c r="AB31" s="758" t="s">
        <v>4609</v>
      </c>
    </row>
    <row r="32" spans="1:43" ht="15.75" thickTop="1" x14ac:dyDescent="0.25">
      <c r="A32" s="199" t="s">
        <v>4599</v>
      </c>
      <c r="B32" s="906"/>
      <c r="C32" s="199">
        <v>0</v>
      </c>
      <c r="D32" s="906"/>
      <c r="E32" s="906"/>
      <c r="F32" s="906"/>
      <c r="G32" s="942" t="s">
        <v>4598</v>
      </c>
      <c r="H32" s="945"/>
      <c r="I32" s="942">
        <v>1</v>
      </c>
      <c r="J32" s="945"/>
      <c r="R32" s="942" t="s">
        <v>4598</v>
      </c>
      <c r="S32" s="942"/>
      <c r="T32" s="943">
        <v>1</v>
      </c>
      <c r="U32" s="943">
        <v>0.5</v>
      </c>
      <c r="V32" s="942"/>
      <c r="W32" s="71"/>
      <c r="X32" s="942" t="s">
        <v>4598</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AG42" workbookViewId="0">
      <selection activeCell="BA44" sqref="BA44"/>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55" t="s">
        <v>4253</v>
      </c>
      <c r="G1" s="1062" t="s">
        <v>4351</v>
      </c>
      <c r="H1" s="1060" t="s">
        <v>4248</v>
      </c>
      <c r="I1" s="1057" t="s">
        <v>1324</v>
      </c>
      <c r="J1" s="1058"/>
      <c r="K1" s="1058"/>
      <c r="L1" s="1058"/>
      <c r="M1" s="1058"/>
      <c r="N1" s="1058"/>
      <c r="O1" s="1059"/>
      <c r="P1" s="1"/>
      <c r="Q1" s="1038" t="s">
        <v>147</v>
      </c>
      <c r="R1" s="1038"/>
      <c r="S1" s="1038"/>
      <c r="T1" s="1038"/>
      <c r="U1" s="1038"/>
      <c r="V1" s="1043" t="s">
        <v>2640</v>
      </c>
      <c r="X1" s="1043" t="s">
        <v>2641</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56"/>
      <c r="G2" s="1063"/>
      <c r="H2" s="1061"/>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43"/>
      <c r="W2" s="735"/>
      <c r="X2" s="1043"/>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4484</v>
      </c>
      <c r="Q3" s="717">
        <v>2</v>
      </c>
      <c r="R3" s="377">
        <v>1</v>
      </c>
      <c r="S3" s="377">
        <v>1</v>
      </c>
      <c r="T3" s="377">
        <v>1</v>
      </c>
      <c r="U3" s="377">
        <v>1</v>
      </c>
      <c r="V3" s="1043"/>
      <c r="X3" s="1043"/>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4311</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4484</v>
      </c>
      <c r="Q4" s="717">
        <v>2</v>
      </c>
      <c r="R4" s="377">
        <v>1</v>
      </c>
      <c r="S4" s="377">
        <v>1</v>
      </c>
      <c r="T4" s="377">
        <v>1</v>
      </c>
      <c r="U4" s="377">
        <v>1</v>
      </c>
      <c r="V4" s="1043"/>
      <c r="X4" s="1043"/>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4312</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4484</v>
      </c>
      <c r="Q5" s="717">
        <v>2</v>
      </c>
      <c r="R5" s="377">
        <v>1</v>
      </c>
      <c r="S5" s="377">
        <v>1</v>
      </c>
      <c r="T5" s="377">
        <v>1</v>
      </c>
      <c r="U5" s="377">
        <v>1</v>
      </c>
      <c r="V5" s="1043"/>
      <c r="X5" s="1043"/>
      <c r="AH5" t="s">
        <v>4313</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4484</v>
      </c>
      <c r="Q6" s="717">
        <v>2</v>
      </c>
      <c r="R6" s="377">
        <v>1</v>
      </c>
      <c r="S6" s="377">
        <v>1</v>
      </c>
      <c r="T6" s="377">
        <v>1</v>
      </c>
      <c r="U6" s="377">
        <v>1</v>
      </c>
      <c r="V6" s="1043"/>
      <c r="X6" s="1043"/>
      <c r="Y6" s="159" t="s">
        <v>4341</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4484</v>
      </c>
      <c r="Q7" s="717">
        <v>2</v>
      </c>
      <c r="R7" s="377">
        <v>1</v>
      </c>
      <c r="S7" s="377">
        <v>1</v>
      </c>
      <c r="T7" s="377">
        <v>1</v>
      </c>
      <c r="U7" s="377">
        <v>1</v>
      </c>
      <c r="V7" s="1043"/>
      <c r="X7" s="1043"/>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4484</v>
      </c>
      <c r="Q8" s="717">
        <v>2</v>
      </c>
      <c r="R8" s="377">
        <v>1</v>
      </c>
      <c r="S8" s="377">
        <v>1</v>
      </c>
      <c r="T8" s="377">
        <v>1</v>
      </c>
      <c r="U8" s="377">
        <v>1</v>
      </c>
      <c r="V8" s="1043"/>
      <c r="X8" s="1043"/>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4484</v>
      </c>
      <c r="Q9" s="717">
        <v>2</v>
      </c>
      <c r="R9" s="377">
        <v>1</v>
      </c>
      <c r="S9" s="377">
        <v>1</v>
      </c>
      <c r="T9" s="377">
        <v>1</v>
      </c>
      <c r="U9" s="377">
        <v>1</v>
      </c>
      <c r="V9" s="1043"/>
      <c r="X9" s="1043"/>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4484</v>
      </c>
      <c r="Q10" s="717">
        <v>2</v>
      </c>
      <c r="R10" s="377">
        <v>1</v>
      </c>
      <c r="S10" s="377">
        <v>1</v>
      </c>
      <c r="T10" s="377">
        <v>1</v>
      </c>
      <c r="U10" s="377">
        <v>1</v>
      </c>
      <c r="V10" s="1043"/>
      <c r="X10" s="1043"/>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4484</v>
      </c>
      <c r="Q11" s="717">
        <v>2</v>
      </c>
      <c r="R11" s="377">
        <v>1</v>
      </c>
      <c r="S11" s="377">
        <v>1</v>
      </c>
      <c r="T11" s="377">
        <v>1</v>
      </c>
      <c r="U11" s="377">
        <v>1</v>
      </c>
      <c r="V11" s="1043"/>
      <c r="X11" s="1043"/>
      <c r="Y11" s="818" t="s">
        <v>4310</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4485</v>
      </c>
      <c r="Q12" s="717">
        <v>2</v>
      </c>
      <c r="R12" s="377">
        <v>1</v>
      </c>
      <c r="S12" s="377">
        <v>1</v>
      </c>
      <c r="T12" s="377">
        <v>2</v>
      </c>
      <c r="U12" s="377">
        <v>1</v>
      </c>
      <c r="V12" s="1043"/>
      <c r="X12" s="1043"/>
      <c r="Y12" s="88" t="s">
        <v>4309</v>
      </c>
      <c r="Z12" s="904">
        <v>2019</v>
      </c>
      <c r="AA12" s="877" t="s">
        <v>1311</v>
      </c>
      <c r="AB12" s="877" t="s">
        <v>2852</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4485</v>
      </c>
      <c r="Q13" s="717">
        <v>2</v>
      </c>
      <c r="R13" s="377">
        <v>1</v>
      </c>
      <c r="S13" s="377">
        <v>1</v>
      </c>
      <c r="T13" s="377">
        <v>2</v>
      </c>
      <c r="U13" s="377">
        <v>1</v>
      </c>
      <c r="V13" s="1043"/>
      <c r="X13" s="1043"/>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4485</v>
      </c>
      <c r="Q14" s="717">
        <v>2</v>
      </c>
      <c r="R14" s="377">
        <v>1</v>
      </c>
      <c r="S14" s="377">
        <v>1</v>
      </c>
      <c r="T14" s="377">
        <v>2</v>
      </c>
      <c r="U14" s="377">
        <v>1</v>
      </c>
      <c r="V14" s="1043"/>
      <c r="X14" s="1043"/>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4485</v>
      </c>
      <c r="Q15" s="717">
        <v>2</v>
      </c>
      <c r="R15" s="377">
        <v>1</v>
      </c>
      <c r="S15" s="377">
        <v>1</v>
      </c>
      <c r="T15" s="377">
        <v>2</v>
      </c>
      <c r="U15" s="377">
        <v>1</v>
      </c>
      <c r="V15" s="1043"/>
      <c r="X15" s="1043"/>
      <c r="Y15" t="s">
        <v>4308</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4485</v>
      </c>
      <c r="Q16" s="717">
        <v>2</v>
      </c>
      <c r="R16" s="377">
        <v>1</v>
      </c>
      <c r="S16" s="377">
        <v>1</v>
      </c>
      <c r="T16" s="377">
        <v>2</v>
      </c>
      <c r="U16" s="377">
        <v>1</v>
      </c>
      <c r="V16" s="1043"/>
      <c r="X16" s="1043"/>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4486</v>
      </c>
      <c r="Q17" s="717">
        <v>2</v>
      </c>
      <c r="R17" s="377">
        <v>1</v>
      </c>
      <c r="S17" s="377">
        <v>1</v>
      </c>
      <c r="T17" s="377">
        <v>1</v>
      </c>
      <c r="U17" s="377">
        <v>1</v>
      </c>
      <c r="V17" s="1043"/>
      <c r="X17" s="1043"/>
      <c r="Y17" t="s">
        <v>2849</v>
      </c>
      <c r="Z17">
        <v>1.33</v>
      </c>
      <c r="AA17">
        <v>1.34</v>
      </c>
      <c r="AB17">
        <v>1.25</v>
      </c>
      <c r="AC17">
        <v>1.3</v>
      </c>
      <c r="AD17">
        <v>1.27</v>
      </c>
      <c r="AE17">
        <v>1.27</v>
      </c>
      <c r="AF17">
        <v>1.29</v>
      </c>
      <c r="AG17">
        <v>1.3</v>
      </c>
      <c r="AH17">
        <v>1.28</v>
      </c>
    </row>
    <row r="18" spans="1:54" x14ac:dyDescent="0.25">
      <c r="V18" s="1043"/>
      <c r="X18" s="1043"/>
    </row>
    <row r="19" spans="1:54" ht="15.75" x14ac:dyDescent="0.25">
      <c r="I19" s="245"/>
      <c r="V19" s="1043"/>
      <c r="X19" s="1043"/>
      <c r="Y19" s="159" t="s">
        <v>4381</v>
      </c>
      <c r="Z19" s="28"/>
      <c r="AA19" s="28"/>
      <c r="AB19" s="28"/>
      <c r="AC19" s="28"/>
      <c r="AD19" s="28"/>
      <c r="AE19" s="28"/>
    </row>
    <row r="20" spans="1:54" ht="15.75" thickBot="1" x14ac:dyDescent="0.3">
      <c r="V20" s="1043"/>
      <c r="X20" s="1043"/>
      <c r="Y20" s="281" t="s">
        <v>1322</v>
      </c>
      <c r="Z20" s="88">
        <v>2021</v>
      </c>
      <c r="AA20" s="88">
        <v>2025</v>
      </c>
      <c r="AB20" s="88">
        <v>2030</v>
      </c>
      <c r="AC20" s="88">
        <v>2035</v>
      </c>
      <c r="AD20" s="88">
        <v>2040</v>
      </c>
      <c r="AE20" s="88">
        <v>2045</v>
      </c>
      <c r="AF20" s="88">
        <v>2050</v>
      </c>
    </row>
    <row r="21" spans="1:54" ht="15.75" thickTop="1" x14ac:dyDescent="0.25">
      <c r="V21" s="1043"/>
      <c r="X21" s="1043"/>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43"/>
      <c r="X22" s="1043"/>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43"/>
      <c r="X23" s="1043"/>
    </row>
    <row r="24" spans="1:54" ht="15.75" x14ac:dyDescent="0.25">
      <c r="V24" s="1043"/>
      <c r="X24" s="1043"/>
      <c r="Y24" s="159" t="s">
        <v>4342</v>
      </c>
      <c r="Z24" s="28"/>
      <c r="AA24" s="28"/>
      <c r="AB24" s="28"/>
      <c r="AC24" s="28"/>
      <c r="AD24" s="28"/>
      <c r="AE24" s="28"/>
    </row>
    <row r="25" spans="1:54" ht="15.75" thickBot="1" x14ac:dyDescent="0.3">
      <c r="V25" s="1043"/>
      <c r="X25" s="1043"/>
      <c r="Y25" s="281" t="s">
        <v>1322</v>
      </c>
      <c r="Z25" s="88">
        <v>2025</v>
      </c>
      <c r="AA25" s="88">
        <v>2030</v>
      </c>
      <c r="AB25" s="88">
        <v>2035</v>
      </c>
      <c r="AC25" s="88">
        <v>2040</v>
      </c>
      <c r="AD25" s="88">
        <v>2045</v>
      </c>
      <c r="AE25" s="88">
        <v>2050</v>
      </c>
    </row>
    <row r="26" spans="1:54" ht="15.75" thickTop="1" x14ac:dyDescent="0.25">
      <c r="V26" s="1043"/>
      <c r="X26" s="1043"/>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43"/>
      <c r="X27" s="1043"/>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43"/>
      <c r="X28" s="1043"/>
    </row>
    <row r="29" spans="1:54" ht="15.75" x14ac:dyDescent="0.25">
      <c r="V29" s="1043"/>
      <c r="X29" s="1043"/>
      <c r="Y29" s="159" t="s">
        <v>4382</v>
      </c>
      <c r="Z29" s="28"/>
      <c r="AA29" s="28"/>
      <c r="AB29" s="28"/>
      <c r="AC29" s="28"/>
      <c r="AD29" s="28"/>
      <c r="AE29" s="28"/>
    </row>
    <row r="30" spans="1:54" ht="15.75" thickBot="1" x14ac:dyDescent="0.3">
      <c r="V30" s="1043"/>
      <c r="X30" s="1043"/>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43"/>
      <c r="X31" s="1043"/>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4346</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4346</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43"/>
      <c r="X32" s="1043"/>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4347</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4347</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43"/>
      <c r="X33" s="1043"/>
      <c r="AH33" t="s">
        <v>4348</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4348</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43"/>
      <c r="X34" s="1043"/>
      <c r="Y34" s="159" t="s">
        <v>4306</v>
      </c>
      <c r="AI34" s="22"/>
      <c r="AJ34" s="22"/>
    </row>
    <row r="35" spans="22:54" ht="15.75" thickBot="1" x14ac:dyDescent="0.3">
      <c r="V35" s="1043"/>
      <c r="X35" s="1043"/>
      <c r="Y35" s="88" t="s">
        <v>4305</v>
      </c>
      <c r="Z35" s="88">
        <v>2020</v>
      </c>
      <c r="AA35" s="281">
        <v>2025</v>
      </c>
      <c r="AB35" s="281">
        <v>2030</v>
      </c>
      <c r="AC35" s="281">
        <v>2035</v>
      </c>
      <c r="AD35" s="281">
        <v>2040</v>
      </c>
      <c r="AE35" s="281">
        <v>2045</v>
      </c>
      <c r="AF35" s="281">
        <v>2050</v>
      </c>
      <c r="AI35" s="22"/>
      <c r="AJ35" s="22"/>
    </row>
    <row r="36" spans="22:54" ht="15.75" thickTop="1" x14ac:dyDescent="0.25">
      <c r="V36" s="1043"/>
      <c r="X36" s="1043"/>
      <c r="Y36" t="s">
        <v>2820</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43"/>
      <c r="X37" s="1043"/>
      <c r="Y37" t="s">
        <v>4307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43"/>
      <c r="X38" s="1043"/>
    </row>
    <row r="39" spans="22:54" x14ac:dyDescent="0.25">
      <c r="V39" s="1043"/>
      <c r="X39" s="1043"/>
    </row>
    <row r="40" spans="22:54" x14ac:dyDescent="0.25">
      <c r="V40" s="1043"/>
      <c r="X40" s="1043"/>
    </row>
    <row r="41" spans="22:54" x14ac:dyDescent="0.25">
      <c r="V41" s="1043"/>
      <c r="X41" s="1043"/>
    </row>
    <row r="42" spans="22:54" x14ac:dyDescent="0.25">
      <c r="V42" s="1043"/>
      <c r="X42" s="1043"/>
    </row>
    <row r="43" spans="22:54" x14ac:dyDescent="0.25">
      <c r="V43" s="1043"/>
      <c r="X43" s="1043"/>
    </row>
    <row r="44" spans="22:54" x14ac:dyDescent="0.25">
      <c r="V44" s="1043"/>
      <c r="X44" s="1043"/>
    </row>
    <row r="45" spans="22:54" x14ac:dyDescent="0.25">
      <c r="V45" s="1043"/>
      <c r="X45" s="1043"/>
    </row>
    <row r="46" spans="22:54" x14ac:dyDescent="0.25">
      <c r="V46" s="1043"/>
      <c r="X46" s="1043"/>
    </row>
    <row r="47" spans="22:54" x14ac:dyDescent="0.25">
      <c r="V47" s="1043"/>
      <c r="X47" s="1043"/>
    </row>
    <row r="48" spans="22:54" x14ac:dyDescent="0.25">
      <c r="V48" s="1043"/>
      <c r="X48" s="1043"/>
    </row>
    <row r="49" spans="22:56" x14ac:dyDescent="0.25">
      <c r="V49" s="1043"/>
      <c r="X49" s="1043"/>
    </row>
    <row r="50" spans="22:56" x14ac:dyDescent="0.25">
      <c r="V50" s="1043"/>
      <c r="X50" s="1043"/>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4346</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4347</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4348</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4269</v>
      </c>
      <c r="BF89" s="28" t="s">
        <v>4267</v>
      </c>
      <c r="BG89" s="28" t="s">
        <v>4266</v>
      </c>
    </row>
    <row r="90" spans="34:59" ht="15.75" thickTop="1" x14ac:dyDescent="0.25">
      <c r="AH90" t="s">
        <v>4346</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4347</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25">
      <c r="AH92" t="s">
        <v>4348</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46" t="s">
        <v>2942</v>
      </c>
      <c r="B1" s="1046"/>
      <c r="C1" s="1046"/>
      <c r="D1" s="1046"/>
      <c r="E1" s="1064"/>
      <c r="F1" s="1065" t="s">
        <v>147</v>
      </c>
      <c r="G1" s="1066"/>
      <c r="H1" s="1066"/>
      <c r="I1" s="1066"/>
      <c r="J1" s="1066"/>
      <c r="K1" s="1043" t="s">
        <v>2640</v>
      </c>
      <c r="L1" s="735"/>
      <c r="M1" s="1043" t="s">
        <v>2941</v>
      </c>
      <c r="N1" s="1073" t="s">
        <v>2940</v>
      </c>
      <c r="O1" s="1073"/>
      <c r="P1" s="1065" t="s">
        <v>147</v>
      </c>
      <c r="Q1" s="1066"/>
      <c r="R1" s="1066"/>
      <c r="S1" s="1066"/>
      <c r="T1" s="1066"/>
      <c r="V1" s="1079" t="s">
        <v>1388</v>
      </c>
      <c r="W1" s="1080"/>
      <c r="X1" s="1081"/>
      <c r="Z1" s="1079" t="s">
        <v>1391</v>
      </c>
      <c r="AA1" s="1080"/>
      <c r="AB1" s="1080"/>
      <c r="AC1" s="1080"/>
      <c r="AD1" s="1080"/>
      <c r="AE1" s="1080"/>
      <c r="AF1" s="1080"/>
      <c r="AG1" s="1080"/>
      <c r="AH1" s="1080"/>
      <c r="AI1" s="1080"/>
      <c r="AJ1" s="1080"/>
      <c r="AK1" s="1080"/>
      <c r="AL1" s="1080"/>
      <c r="AM1" s="1080"/>
      <c r="AN1" s="1080"/>
      <c r="AO1" s="1080"/>
      <c r="AP1" s="1080"/>
      <c r="AQ1" s="1080"/>
      <c r="AR1" s="1080"/>
      <c r="AS1" s="1081"/>
    </row>
    <row r="2" spans="1:45" s="106" customFormat="1" ht="99.75" thickBot="1" x14ac:dyDescent="0.3">
      <c r="A2" s="724" t="s">
        <v>2944</v>
      </c>
      <c r="B2" s="724" t="s">
        <v>93</v>
      </c>
      <c r="C2" s="724" t="s">
        <v>179</v>
      </c>
      <c r="D2" s="724" t="s">
        <v>143</v>
      </c>
      <c r="E2" s="725" t="s">
        <v>91</v>
      </c>
      <c r="F2" s="722" t="s">
        <v>148</v>
      </c>
      <c r="G2" s="722" t="s">
        <v>152</v>
      </c>
      <c r="H2" s="722" t="s">
        <v>149</v>
      </c>
      <c r="I2" s="722" t="s">
        <v>150</v>
      </c>
      <c r="J2" s="722" t="s">
        <v>151</v>
      </c>
      <c r="K2" s="1043"/>
      <c r="L2" s="735"/>
      <c r="M2" s="1043"/>
      <c r="N2" s="200" t="s">
        <v>1398</v>
      </c>
      <c r="O2" s="200" t="s">
        <v>91</v>
      </c>
      <c r="P2" s="727" t="s">
        <v>148</v>
      </c>
      <c r="Q2" s="722" t="s">
        <v>152</v>
      </c>
      <c r="R2" s="722" t="s">
        <v>149</v>
      </c>
      <c r="S2" s="722" t="s">
        <v>150</v>
      </c>
      <c r="T2" s="722" t="s">
        <v>151</v>
      </c>
      <c r="V2" s="1076" t="s">
        <v>1227</v>
      </c>
      <c r="W2" s="1077"/>
      <c r="X2" s="1078"/>
      <c r="Z2" s="1067" t="s">
        <v>1389</v>
      </c>
      <c r="AA2" s="1068"/>
      <c r="AC2" s="1068" t="s">
        <v>4079</v>
      </c>
      <c r="AD2" s="1068"/>
      <c r="AE2" s="1068"/>
      <c r="AF2" s="1068"/>
      <c r="AG2" s="1068"/>
      <c r="AH2" s="1068"/>
      <c r="AI2" s="1068"/>
      <c r="AJ2" s="1068"/>
      <c r="AK2" s="1068"/>
      <c r="AS2" s="737"/>
    </row>
    <row r="3" spans="1:45" ht="16.5" thickTop="1" thickBot="1" x14ac:dyDescent="0.3">
      <c r="A3" t="s">
        <v>2038</v>
      </c>
      <c r="B3" t="s">
        <v>95</v>
      </c>
      <c r="C3" t="s">
        <v>2939</v>
      </c>
      <c r="D3">
        <v>2018</v>
      </c>
      <c r="E3" t="s">
        <v>2945</v>
      </c>
      <c r="F3" s="377">
        <v>1</v>
      </c>
      <c r="G3" s="377">
        <v>2</v>
      </c>
      <c r="H3" s="377">
        <v>1</v>
      </c>
      <c r="I3" s="377">
        <v>1</v>
      </c>
      <c r="J3" s="377">
        <v>1</v>
      </c>
      <c r="K3" s="1043"/>
      <c r="M3" s="1043"/>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2939</v>
      </c>
      <c r="D4">
        <v>2018</v>
      </c>
      <c r="E4" t="s">
        <v>2945</v>
      </c>
      <c r="F4" s="377">
        <v>1</v>
      </c>
      <c r="G4" s="377">
        <v>2</v>
      </c>
      <c r="H4" s="377">
        <v>1</v>
      </c>
      <c r="I4" s="377">
        <v>1</v>
      </c>
      <c r="J4" s="377">
        <v>1</v>
      </c>
      <c r="K4" s="1043"/>
      <c r="M4" s="1043"/>
      <c r="N4" s="17" t="s">
        <v>1393</v>
      </c>
      <c r="O4" s="87" t="s">
        <v>1395</v>
      </c>
      <c r="P4" s="377">
        <v>2</v>
      </c>
      <c r="Q4" s="377">
        <v>1</v>
      </c>
      <c r="R4" s="377">
        <v>1</v>
      </c>
      <c r="S4" s="377">
        <v>1</v>
      </c>
      <c r="T4" s="377">
        <v>1</v>
      </c>
      <c r="V4" s="774" t="s">
        <v>1228</v>
      </c>
      <c r="W4" t="s">
        <v>1254</v>
      </c>
      <c r="X4" s="63"/>
      <c r="Z4" s="64" t="s">
        <v>2943</v>
      </c>
      <c r="AA4" s="751" t="s">
        <v>1390</v>
      </c>
      <c r="AC4" s="271" t="s">
        <v>2694</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2939</v>
      </c>
      <c r="D5">
        <v>2018</v>
      </c>
      <c r="E5" t="s">
        <v>2945</v>
      </c>
      <c r="F5" s="377">
        <v>1</v>
      </c>
      <c r="G5" s="377">
        <v>2</v>
      </c>
      <c r="H5" s="377">
        <v>1</v>
      </c>
      <c r="I5" s="377">
        <v>1</v>
      </c>
      <c r="J5" s="377">
        <v>1</v>
      </c>
      <c r="K5" s="1043"/>
      <c r="M5" s="1043"/>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row>
    <row r="6" spans="1:45" x14ac:dyDescent="0.25">
      <c r="K6" s="1043"/>
      <c r="M6" s="1043"/>
      <c r="N6" s="28" t="s">
        <v>1396</v>
      </c>
      <c r="P6" s="377"/>
      <c r="Q6" s="377"/>
      <c r="R6" s="377"/>
      <c r="S6" s="377"/>
      <c r="T6" s="377"/>
      <c r="V6" s="774" t="s">
        <v>1230</v>
      </c>
      <c r="W6" t="s">
        <v>1256</v>
      </c>
      <c r="X6" s="63"/>
      <c r="Z6" s="379" t="s">
        <v>2936</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row>
    <row r="7" spans="1:45" ht="15.75" thickBot="1" x14ac:dyDescent="0.3">
      <c r="K7" s="1043"/>
      <c r="M7" s="1043"/>
      <c r="N7" s="17" t="s">
        <v>1397</v>
      </c>
      <c r="O7" t="s">
        <v>1405</v>
      </c>
      <c r="P7" s="377"/>
      <c r="Q7" s="377"/>
      <c r="R7" s="377"/>
      <c r="S7" s="377"/>
      <c r="T7" s="377"/>
      <c r="V7" s="774" t="s">
        <v>1231</v>
      </c>
      <c r="W7" t="s">
        <v>1282</v>
      </c>
      <c r="X7" s="63"/>
      <c r="Z7" s="232" t="s">
        <v>1326</v>
      </c>
      <c r="AA7" s="88" t="s">
        <v>2677</v>
      </c>
      <c r="AC7" s="271" t="s">
        <v>2681</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43"/>
      <c r="M8" s="1043"/>
      <c r="N8" s="17" t="s">
        <v>1400</v>
      </c>
      <c r="O8" t="s">
        <v>1401</v>
      </c>
      <c r="P8" s="377"/>
      <c r="Q8" s="377"/>
      <c r="R8" s="377"/>
      <c r="S8" s="377"/>
      <c r="T8" s="377"/>
      <c r="V8" s="774" t="s">
        <v>1232</v>
      </c>
      <c r="W8" t="s">
        <v>1257</v>
      </c>
      <c r="X8" s="63" t="s">
        <v>1284</v>
      </c>
      <c r="Z8" s="64" t="s">
        <v>2678</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row>
    <row r="9" spans="1:45" ht="18" x14ac:dyDescent="0.35">
      <c r="K9" s="1043"/>
      <c r="M9" s="1043"/>
      <c r="N9" s="17" t="s">
        <v>1402</v>
      </c>
      <c r="O9" t="s">
        <v>1493</v>
      </c>
      <c r="P9" s="377"/>
      <c r="Q9" s="377"/>
      <c r="R9" s="377"/>
      <c r="S9" s="377"/>
      <c r="T9" s="377"/>
      <c r="V9" s="774" t="s">
        <v>1233</v>
      </c>
      <c r="W9" t="s">
        <v>1258</v>
      </c>
      <c r="X9" s="63"/>
      <c r="Z9" s="64" t="s">
        <v>2679</v>
      </c>
      <c r="AA9" s="750">
        <f>'Background Data'!AW46/'Background Data'!AW32</f>
        <v>0.39883355544181787</v>
      </c>
      <c r="AC9" s="271" t="s">
        <v>2693</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43"/>
      <c r="M10" s="1043"/>
      <c r="N10" s="17" t="s">
        <v>1403</v>
      </c>
      <c r="O10" t="s">
        <v>2160</v>
      </c>
      <c r="P10" s="377">
        <v>3</v>
      </c>
      <c r="Q10" s="377">
        <v>2</v>
      </c>
      <c r="R10" s="377">
        <v>1</v>
      </c>
      <c r="S10" s="377">
        <v>2</v>
      </c>
      <c r="T10" s="377">
        <v>1</v>
      </c>
      <c r="V10" s="774" t="s">
        <v>1234</v>
      </c>
      <c r="W10" t="s">
        <v>1269</v>
      </c>
      <c r="X10" s="63" t="s">
        <v>1268</v>
      </c>
      <c r="Z10" s="768" t="s">
        <v>2680</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LDV'!$G:$G, ('Autonomie 2023 LDV'!$A:$A="BEV200")*('Autonomie 2023 LDV'!$B:$B=AK$3)*('Autonomie 2023 LDV'!$D:$D=$AC10))</f>
        <v>45979.436159999997</v>
      </c>
      <c r="AS10" s="63"/>
    </row>
    <row r="11" spans="1:45" x14ac:dyDescent="0.25">
      <c r="K11" s="1043"/>
      <c r="M11" s="1043"/>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LDV'!$G:$G, ('Autonomie 2023 LDV'!$A:$A="BEV300")*('Autonomie 2023 LDV'!$B:$B=AK$3)*('Autonomie 2023 LDV'!$D:$D=$AC11))</f>
        <v>87711.465599999996</v>
      </c>
      <c r="AS11" s="63"/>
    </row>
    <row r="12" spans="1:45" x14ac:dyDescent="0.25">
      <c r="K12" s="1043"/>
      <c r="M12" s="1043"/>
      <c r="N12" s="17" t="s">
        <v>1406</v>
      </c>
      <c r="O12" t="s">
        <v>2162</v>
      </c>
      <c r="P12" s="377"/>
      <c r="Q12" s="377"/>
      <c r="R12" s="377"/>
      <c r="S12" s="377"/>
      <c r="T12" s="377"/>
      <c r="V12" s="774" t="s">
        <v>1236</v>
      </c>
      <c r="W12" t="s">
        <v>1260</v>
      </c>
      <c r="X12" s="63"/>
      <c r="Z12" s="64"/>
      <c r="AC12" s="77" t="s">
        <v>4242</v>
      </c>
      <c r="AS12" s="63"/>
    </row>
    <row r="13" spans="1:45" x14ac:dyDescent="0.25">
      <c r="K13" s="1043"/>
      <c r="M13" s="1043"/>
      <c r="N13" s="17" t="s">
        <v>1408</v>
      </c>
      <c r="O13" t="s">
        <v>1407</v>
      </c>
      <c r="P13" s="377"/>
      <c r="Q13" s="377"/>
      <c r="R13" s="377"/>
      <c r="S13" s="377"/>
      <c r="T13" s="377"/>
      <c r="V13" s="774" t="s">
        <v>1237</v>
      </c>
      <c r="W13" t="s">
        <v>1261</v>
      </c>
      <c r="X13" s="63" t="s">
        <v>1277</v>
      </c>
      <c r="Z13" s="64"/>
      <c r="AC13" s="77"/>
      <c r="AS13" s="63"/>
    </row>
    <row r="14" spans="1:45" ht="15.75" x14ac:dyDescent="0.25">
      <c r="K14" s="1043"/>
      <c r="M14" s="1043"/>
      <c r="N14" s="17" t="s">
        <v>1409</v>
      </c>
      <c r="O14" t="s">
        <v>1491</v>
      </c>
      <c r="P14" s="377">
        <v>5</v>
      </c>
      <c r="Q14" s="377">
        <v>1</v>
      </c>
      <c r="R14" s="377">
        <v>1</v>
      </c>
      <c r="S14" s="377">
        <v>1</v>
      </c>
      <c r="T14" s="377">
        <v>1</v>
      </c>
      <c r="V14" s="774" t="s">
        <v>1238</v>
      </c>
      <c r="W14" t="s">
        <v>1262</v>
      </c>
      <c r="X14" s="63" t="s">
        <v>1283</v>
      </c>
      <c r="Z14" s="313" t="s">
        <v>2009</v>
      </c>
      <c r="AH14" s="159" t="s">
        <v>4241</v>
      </c>
      <c r="AS14" s="63"/>
    </row>
    <row r="15" spans="1:45" ht="15.75" thickBot="1" x14ac:dyDescent="0.3">
      <c r="K15" s="1043"/>
      <c r="M15" s="1043"/>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43"/>
      <c r="M16" s="1043"/>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43"/>
      <c r="M17" s="1043"/>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43"/>
      <c r="M18" s="1043"/>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43"/>
      <c r="M19" s="1043"/>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43"/>
      <c r="M20" s="1043"/>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43"/>
      <c r="M21" s="1043"/>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43"/>
      <c r="M22" s="1043"/>
      <c r="N22" s="17" t="s">
        <v>1417</v>
      </c>
      <c r="O22" t="s">
        <v>1820</v>
      </c>
      <c r="P22" s="377">
        <v>1</v>
      </c>
      <c r="Q22" s="377">
        <v>1</v>
      </c>
      <c r="R22" s="377">
        <v>1</v>
      </c>
      <c r="S22" s="377">
        <v>1</v>
      </c>
      <c r="T22" s="377">
        <v>1</v>
      </c>
      <c r="V22" s="774" t="s">
        <v>1246</v>
      </c>
      <c r="W22" t="s">
        <v>1273</v>
      </c>
      <c r="X22" s="63"/>
      <c r="Z22" s="379" t="s">
        <v>2676</v>
      </c>
      <c r="AD22" s="28" t="s">
        <v>1383</v>
      </c>
      <c r="AH22" s="17" t="s">
        <v>1486</v>
      </c>
      <c r="AI22">
        <v>-14</v>
      </c>
      <c r="AJ22" s="830">
        <v>-15.5</v>
      </c>
      <c r="AK22" s="73"/>
      <c r="AL22" s="73"/>
      <c r="AM22" s="73"/>
      <c r="AN22" s="73"/>
      <c r="AO22" s="73"/>
      <c r="AP22" s="73"/>
      <c r="AR22" s="214"/>
      <c r="AS22" s="831"/>
    </row>
    <row r="23" spans="11:45" ht="15.75" thickBot="1" x14ac:dyDescent="0.3">
      <c r="K23" s="1043"/>
      <c r="M23" s="1043"/>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43"/>
      <c r="M24" s="1043"/>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43"/>
      <c r="M25" s="1043"/>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43"/>
      <c r="M26" s="1043"/>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43"/>
      <c r="M27" s="1043"/>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43"/>
      <c r="M28" s="1043"/>
      <c r="V28" s="774" t="s">
        <v>1252</v>
      </c>
      <c r="W28" t="s">
        <v>1266</v>
      </c>
      <c r="X28" s="63"/>
      <c r="Z28" s="64"/>
      <c r="AS28" s="63"/>
    </row>
    <row r="29" spans="11:45" ht="15.75" x14ac:dyDescent="0.25">
      <c r="K29" s="1043"/>
      <c r="M29" s="1043"/>
      <c r="V29" s="774" t="s">
        <v>1253</v>
      </c>
      <c r="W29" t="s">
        <v>130</v>
      </c>
      <c r="X29" s="63" t="s">
        <v>1286</v>
      </c>
      <c r="Z29" s="1069" t="s">
        <v>1834</v>
      </c>
      <c r="AA29" s="1044"/>
      <c r="AB29" s="1044"/>
      <c r="AC29" s="1044"/>
      <c r="AD29" s="1044"/>
      <c r="AH29" s="534" t="s">
        <v>1835</v>
      </c>
      <c r="AI29" s="28"/>
      <c r="AJ29" s="28"/>
      <c r="AK29" s="28"/>
      <c r="AL29" s="28"/>
      <c r="AM29" s="28"/>
      <c r="AN29" s="28"/>
      <c r="AS29" s="63"/>
    </row>
    <row r="30" spans="11:45" ht="15.75" thickBot="1" x14ac:dyDescent="0.3">
      <c r="K30" s="1043"/>
      <c r="M30" s="1043"/>
      <c r="V30" s="774" t="s">
        <v>1335</v>
      </c>
      <c r="W30" t="s">
        <v>1336</v>
      </c>
      <c r="X30" s="63"/>
      <c r="Z30" s="1074" t="s">
        <v>1439</v>
      </c>
      <c r="AA30" s="1" t="s">
        <v>1440</v>
      </c>
      <c r="AB30" s="1038" t="s">
        <v>1421</v>
      </c>
      <c r="AC30" s="1038"/>
      <c r="AD30" s="1038"/>
      <c r="AE30" s="1037" t="s">
        <v>1444</v>
      </c>
      <c r="AF30" s="1038"/>
      <c r="AH30" s="88" t="s">
        <v>1447</v>
      </c>
      <c r="AI30" s="88">
        <v>2025</v>
      </c>
      <c r="AJ30" s="88">
        <v>2030</v>
      </c>
      <c r="AK30" s="88">
        <v>2035</v>
      </c>
      <c r="AL30" s="88">
        <v>2040</v>
      </c>
      <c r="AM30" s="88">
        <v>2045</v>
      </c>
      <c r="AN30" s="88">
        <v>2050</v>
      </c>
      <c r="AS30" s="63"/>
    </row>
    <row r="31" spans="11:45" ht="16.5" thickTop="1" thickBot="1" x14ac:dyDescent="0.3">
      <c r="K31" s="1043"/>
      <c r="M31" s="1043"/>
      <c r="V31" s="775" t="s">
        <v>1386</v>
      </c>
      <c r="X31" s="63"/>
      <c r="Z31" s="1075"/>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43"/>
      <c r="M32" s="1043"/>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43"/>
      <c r="M33" s="1043"/>
      <c r="V33" s="1082" t="s">
        <v>1337</v>
      </c>
      <c r="W33" s="1083"/>
      <c r="X33" s="1084"/>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43"/>
      <c r="M34" s="1043"/>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43"/>
      <c r="M35" s="1043"/>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43"/>
      <c r="M36" s="1043"/>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43"/>
      <c r="M37" s="1043"/>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43"/>
      <c r="M38" s="1043"/>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43"/>
      <c r="M39" s="1043"/>
      <c r="V39" s="64" t="s">
        <v>1353</v>
      </c>
      <c r="W39" t="s">
        <v>1370</v>
      </c>
      <c r="X39" s="63"/>
      <c r="Z39" s="64" t="s">
        <v>1429</v>
      </c>
      <c r="AA39" s="65">
        <v>418</v>
      </c>
      <c r="AB39" s="65">
        <v>710</v>
      </c>
      <c r="AC39" s="65">
        <v>161</v>
      </c>
      <c r="AD39" s="65">
        <v>871</v>
      </c>
      <c r="AE39" s="747">
        <f t="shared" si="11"/>
        <v>0.81515499425947191</v>
      </c>
      <c r="AF39" s="40">
        <f t="shared" si="12"/>
        <v>0.18484500574052812</v>
      </c>
      <c r="AH39" s="75" t="s">
        <v>2692</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43"/>
      <c r="M40" s="1043"/>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43"/>
      <c r="M41" s="1043"/>
      <c r="V41" s="64" t="s">
        <v>1355</v>
      </c>
      <c r="W41" t="s">
        <v>1362</v>
      </c>
      <c r="X41" s="63"/>
      <c r="Z41" s="64" t="s">
        <v>1431</v>
      </c>
      <c r="AA41" s="65">
        <v>84</v>
      </c>
      <c r="AB41" s="65">
        <v>138</v>
      </c>
      <c r="AC41" s="65">
        <v>16</v>
      </c>
      <c r="AD41" s="65">
        <v>154</v>
      </c>
      <c r="AE41" s="747">
        <f t="shared" si="11"/>
        <v>0.89610389610389607</v>
      </c>
      <c r="AF41" s="40">
        <f t="shared" si="12"/>
        <v>0.1038961038961039</v>
      </c>
      <c r="AH41" s="534" t="s">
        <v>2689</v>
      </c>
      <c r="AS41" s="770"/>
      <c r="AT41" s="287"/>
      <c r="AU41" s="287"/>
    </row>
    <row r="42" spans="11:47" ht="15.75" thickBot="1" x14ac:dyDescent="0.3">
      <c r="K42" s="1043"/>
      <c r="M42" s="1043"/>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2684</v>
      </c>
      <c r="AS42" s="770"/>
      <c r="AT42" s="287"/>
      <c r="AU42" s="287"/>
    </row>
    <row r="43" spans="11:47" ht="15.75" thickTop="1" x14ac:dyDescent="0.25">
      <c r="K43" s="1043"/>
      <c r="M43" s="1043"/>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2683</v>
      </c>
      <c r="AI43" s="753">
        <v>0.7</v>
      </c>
      <c r="AS43" s="770"/>
      <c r="AT43" s="287"/>
      <c r="AU43" s="287"/>
    </row>
    <row r="44" spans="11:47" x14ac:dyDescent="0.25">
      <c r="K44" s="1043"/>
      <c r="M44" s="1043"/>
      <c r="V44" s="64" t="s">
        <v>1359</v>
      </c>
      <c r="W44" t="s">
        <v>1270</v>
      </c>
      <c r="X44" s="63" t="s">
        <v>1375</v>
      </c>
      <c r="Z44" s="64" t="s">
        <v>1434</v>
      </c>
      <c r="AA44" s="65">
        <v>26</v>
      </c>
      <c r="AB44" s="65">
        <v>5</v>
      </c>
      <c r="AC44" s="65">
        <v>22</v>
      </c>
      <c r="AD44" s="65">
        <v>27</v>
      </c>
      <c r="AE44" s="747">
        <f t="shared" si="11"/>
        <v>0.18518518518518517</v>
      </c>
      <c r="AF44" s="40">
        <f t="shared" si="12"/>
        <v>0.81481481481481477</v>
      </c>
      <c r="AH44" t="s">
        <v>2686</v>
      </c>
      <c r="AI44" s="753">
        <f>1-AI43</f>
        <v>0.30000000000000004</v>
      </c>
      <c r="AS44" s="770"/>
      <c r="AT44" s="84"/>
      <c r="AU44" s="84"/>
    </row>
    <row r="45" spans="11:47" x14ac:dyDescent="0.25">
      <c r="K45" s="1043"/>
      <c r="M45" s="1043"/>
      <c r="V45" s="64" t="s">
        <v>1363</v>
      </c>
      <c r="W45" t="s">
        <v>1384</v>
      </c>
      <c r="X45" s="63" t="s">
        <v>1378</v>
      </c>
      <c r="Z45" s="64" t="s">
        <v>1435</v>
      </c>
      <c r="AA45" s="65">
        <v>25</v>
      </c>
      <c r="AB45" s="65">
        <v>3</v>
      </c>
      <c r="AC45" s="65">
        <v>22</v>
      </c>
      <c r="AD45" s="65">
        <v>25</v>
      </c>
      <c r="AE45" s="747">
        <f t="shared" si="11"/>
        <v>0.12</v>
      </c>
      <c r="AF45" s="40">
        <f t="shared" si="12"/>
        <v>0.88</v>
      </c>
      <c r="AH45" s="61" t="s">
        <v>2688</v>
      </c>
      <c r="AS45" s="63"/>
    </row>
    <row r="46" spans="11:47" x14ac:dyDescent="0.25">
      <c r="K46" s="1043"/>
      <c r="M46" s="1043"/>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43"/>
      <c r="M47" s="1043"/>
      <c r="V47" s="64" t="s">
        <v>1365</v>
      </c>
      <c r="W47" t="s">
        <v>1366</v>
      </c>
      <c r="X47" s="63" t="s">
        <v>1377</v>
      </c>
      <c r="Z47" s="64" t="s">
        <v>1437</v>
      </c>
      <c r="AA47" s="65">
        <v>0</v>
      </c>
      <c r="AB47" s="65">
        <v>0</v>
      </c>
      <c r="AC47" s="65">
        <v>0</v>
      </c>
      <c r="AD47" s="65">
        <v>0</v>
      </c>
      <c r="AE47" s="747"/>
      <c r="AF47" s="40"/>
      <c r="AH47" s="534" t="s">
        <v>2690</v>
      </c>
      <c r="AS47" s="63"/>
    </row>
    <row r="48" spans="11:47" ht="15.75" thickBot="1" x14ac:dyDescent="0.3">
      <c r="K48" s="1043"/>
      <c r="M48" s="1043"/>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2669</v>
      </c>
      <c r="AI48" s="88" t="s">
        <v>2668</v>
      </c>
      <c r="AS48" s="63"/>
    </row>
    <row r="49" spans="11:48" ht="15.75" thickTop="1" x14ac:dyDescent="0.25">
      <c r="K49" s="1043"/>
      <c r="M49" s="1043"/>
      <c r="V49" s="64" t="s">
        <v>1368</v>
      </c>
      <c r="W49" t="s">
        <v>1371</v>
      </c>
      <c r="X49" s="63"/>
      <c r="Z49" s="64"/>
      <c r="AH49" t="s">
        <v>2673</v>
      </c>
      <c r="AI49" s="753">
        <v>0.15</v>
      </c>
      <c r="AS49" s="63"/>
    </row>
    <row r="50" spans="11:48" ht="15.75" x14ac:dyDescent="0.25">
      <c r="K50" s="1043"/>
      <c r="M50" s="1043"/>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2691</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69" t="s">
        <v>1338</v>
      </c>
      <c r="W53" s="1044"/>
      <c r="X53" s="1070"/>
      <c r="Z53" s="64" t="s">
        <v>1837</v>
      </c>
      <c r="AA53">
        <v>2</v>
      </c>
      <c r="AB53">
        <v>8</v>
      </c>
      <c r="AC53">
        <v>24</v>
      </c>
      <c r="AD53">
        <v>44</v>
      </c>
      <c r="AH53" s="159" t="s">
        <v>2682</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2685</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2683</v>
      </c>
      <c r="AJ55" s="30"/>
      <c r="AS55" s="770"/>
      <c r="AT55" s="287"/>
      <c r="AU55" s="287"/>
      <c r="AV55" s="287"/>
    </row>
    <row r="56" spans="11:48" x14ac:dyDescent="0.25">
      <c r="V56" s="64" t="s">
        <v>1343</v>
      </c>
      <c r="W56" s="776">
        <v>0.375</v>
      </c>
      <c r="X56" s="777">
        <v>0.62430555555555556</v>
      </c>
      <c r="Z56" s="64" t="s">
        <v>1840</v>
      </c>
      <c r="AA56" s="1071">
        <v>0.7</v>
      </c>
      <c r="AB56">
        <v>2.4</v>
      </c>
      <c r="AC56">
        <v>4.9000000000000004</v>
      </c>
      <c r="AD56">
        <v>7.8</v>
      </c>
      <c r="AH56" s="75" t="s">
        <v>2674</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72"/>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2670</v>
      </c>
      <c r="AA58">
        <f>SUM(AA53:AA55)</f>
        <v>8.1999999999999993</v>
      </c>
      <c r="AB58">
        <f t="shared" ref="AB58:AD58" si="17">SUM(AB53:AB55)</f>
        <v>32</v>
      </c>
      <c r="AC58">
        <f t="shared" si="17"/>
        <v>89</v>
      </c>
      <c r="AD58">
        <f t="shared" si="17"/>
        <v>170</v>
      </c>
      <c r="AH58" s="28" t="s">
        <v>2687</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2672</v>
      </c>
      <c r="AA60" s="114">
        <f>AA52/SUM(AA52:AA57)</f>
        <v>0.89517078916372195</v>
      </c>
      <c r="AB60" s="114">
        <f>AB52/SUM(AB52:AB57)</f>
        <v>0.89644970414201186</v>
      </c>
      <c r="AC60" s="114">
        <f>AC52/SUM(AC52:AC57)</f>
        <v>0.91898325257162272</v>
      </c>
      <c r="AD60" s="114">
        <f>AD52/SUM(AD52:AD57)</f>
        <v>0.92975125932289426</v>
      </c>
      <c r="AH60" s="75" t="s">
        <v>2675</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2671</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2695</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2696</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2697</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37" t="s">
        <v>147</v>
      </c>
      <c r="I1" s="1038"/>
      <c r="J1" s="1038"/>
      <c r="K1" s="1038"/>
      <c r="L1" s="1038"/>
      <c r="M1" s="1043" t="s">
        <v>2640</v>
      </c>
      <c r="O1" s="1043" t="s">
        <v>2641</v>
      </c>
      <c r="P1" s="285" t="s">
        <v>4357</v>
      </c>
      <c r="W1" s="285" t="s">
        <v>4369</v>
      </c>
      <c r="Z1" s="285" t="s">
        <v>4372</v>
      </c>
      <c r="AE1" s="159" t="s">
        <v>4378</v>
      </c>
      <c r="AL1" s="909" t="s">
        <v>4379</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43"/>
      <c r="N2" s="735"/>
      <c r="O2" s="1043"/>
      <c r="P2" s="758" t="s">
        <v>4353</v>
      </c>
      <c r="Q2" s="758" t="s">
        <v>17</v>
      </c>
      <c r="R2" s="758" t="s">
        <v>4354</v>
      </c>
      <c r="S2" s="758" t="s">
        <v>4355</v>
      </c>
      <c r="T2" s="758" t="s">
        <v>4356</v>
      </c>
      <c r="U2" s="906" t="s">
        <v>4358</v>
      </c>
      <c r="V2" s="906"/>
      <c r="W2" s="908" t="s">
        <v>4370</v>
      </c>
      <c r="X2" s="908" t="s">
        <v>4371</v>
      </c>
      <c r="Y2" s="244"/>
      <c r="Z2" s="908" t="s">
        <v>4373</v>
      </c>
      <c r="AA2" s="908" t="s">
        <v>4374</v>
      </c>
      <c r="AB2" s="908" t="s">
        <v>4375</v>
      </c>
      <c r="AC2" s="244"/>
      <c r="AD2" s="244"/>
      <c r="AE2" s="88" t="s">
        <v>4353</v>
      </c>
      <c r="AF2" s="88" t="s">
        <v>17</v>
      </c>
      <c r="AG2" s="88" t="s">
        <v>1474</v>
      </c>
      <c r="AH2" s="88" t="s">
        <v>1481</v>
      </c>
      <c r="AI2" s="88" t="s">
        <v>41</v>
      </c>
      <c r="AL2" s="232" t="s">
        <v>4365</v>
      </c>
      <c r="AM2" s="88" t="s">
        <v>17</v>
      </c>
      <c r="AN2" s="88" t="s">
        <v>1474</v>
      </c>
      <c r="AO2" s="88" t="s">
        <v>1481</v>
      </c>
      <c r="AP2" s="378" t="s">
        <v>41</v>
      </c>
      <c r="AS2" s="28"/>
      <c r="AT2" s="28"/>
      <c r="AU2" s="28"/>
      <c r="AV2" s="28"/>
      <c r="AW2" s="28"/>
      <c r="AX2" s="28"/>
      <c r="AY2" s="28"/>
    </row>
    <row r="3" spans="1:51" ht="15.75" thickTop="1" x14ac:dyDescent="0.25">
      <c r="A3" t="s">
        <v>4432</v>
      </c>
      <c r="B3" t="s">
        <v>95</v>
      </c>
      <c r="C3" t="s">
        <v>4364</v>
      </c>
      <c r="D3">
        <v>2024</v>
      </c>
      <c r="E3" t="s">
        <v>104</v>
      </c>
      <c r="F3" s="377">
        <f>'Background Data'!$BB$25</f>
        <v>14</v>
      </c>
      <c r="G3" s="52" t="s">
        <v>4361</v>
      </c>
      <c r="H3" s="377">
        <v>1</v>
      </c>
      <c r="I3" s="377">
        <v>1</v>
      </c>
      <c r="J3" s="377">
        <v>1</v>
      </c>
      <c r="K3" s="377">
        <v>3</v>
      </c>
      <c r="L3" s="377">
        <v>1</v>
      </c>
      <c r="M3" s="1043"/>
      <c r="O3" s="1043"/>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4366</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4433</v>
      </c>
      <c r="B4" t="s">
        <v>95</v>
      </c>
      <c r="C4" t="s">
        <v>4364</v>
      </c>
      <c r="D4">
        <v>2024</v>
      </c>
      <c r="E4" t="s">
        <v>104</v>
      </c>
      <c r="F4" s="377">
        <f>'Background Data'!$BB$25</f>
        <v>14</v>
      </c>
      <c r="G4" s="52" t="s">
        <v>4361</v>
      </c>
      <c r="H4" s="377">
        <v>1</v>
      </c>
      <c r="I4" s="377">
        <v>1</v>
      </c>
      <c r="J4" s="377">
        <v>1</v>
      </c>
      <c r="K4" s="377">
        <v>3</v>
      </c>
      <c r="L4" s="377">
        <v>1</v>
      </c>
      <c r="M4" s="1043"/>
      <c r="O4" s="1043"/>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4367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4434</v>
      </c>
      <c r="B5" t="s">
        <v>95</v>
      </c>
      <c r="C5" t="s">
        <v>4364</v>
      </c>
      <c r="D5">
        <v>2024</v>
      </c>
      <c r="E5" t="s">
        <v>104</v>
      </c>
      <c r="F5" s="377">
        <f>'Background Data'!$BB$25</f>
        <v>14</v>
      </c>
      <c r="G5" s="52" t="s">
        <v>4361</v>
      </c>
      <c r="H5" s="377">
        <v>1</v>
      </c>
      <c r="I5" s="377">
        <v>1</v>
      </c>
      <c r="J5" s="377">
        <v>1</v>
      </c>
      <c r="K5" s="377">
        <v>3</v>
      </c>
      <c r="L5" s="377">
        <v>1</v>
      </c>
      <c r="M5" s="1043"/>
      <c r="O5" s="1043"/>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4368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4435</v>
      </c>
      <c r="B6" t="s">
        <v>95</v>
      </c>
      <c r="C6" t="s">
        <v>4364</v>
      </c>
      <c r="D6">
        <v>2024</v>
      </c>
      <c r="E6" t="s">
        <v>104</v>
      </c>
      <c r="F6" s="377">
        <f>'Background Data'!$BB$25</f>
        <v>14</v>
      </c>
      <c r="G6" s="52" t="s">
        <v>4361</v>
      </c>
      <c r="H6" s="377">
        <v>1</v>
      </c>
      <c r="I6" s="377">
        <v>1</v>
      </c>
      <c r="J6" s="377">
        <v>1</v>
      </c>
      <c r="K6" s="377">
        <v>3</v>
      </c>
      <c r="L6" s="377">
        <v>1</v>
      </c>
      <c r="M6" s="1043"/>
      <c r="O6" s="1043"/>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85" t="s">
        <v>4377</v>
      </c>
      <c r="AM6" s="1086"/>
      <c r="AN6" s="1086"/>
      <c r="AO6" s="1086"/>
      <c r="AP6" s="1087"/>
      <c r="AR6" s="28"/>
      <c r="AS6" s="259"/>
      <c r="AT6" s="259"/>
      <c r="AU6" s="259"/>
      <c r="AV6" s="259"/>
      <c r="AW6" s="259"/>
      <c r="AX6" s="259"/>
      <c r="AY6" s="259"/>
    </row>
    <row r="7" spans="1:51" x14ac:dyDescent="0.25">
      <c r="A7" t="s">
        <v>4436</v>
      </c>
      <c r="B7" t="s">
        <v>95</v>
      </c>
      <c r="C7" t="s">
        <v>4364</v>
      </c>
      <c r="D7">
        <v>2024</v>
      </c>
      <c r="E7" t="s">
        <v>104</v>
      </c>
      <c r="F7" s="377">
        <f>'Background Data'!$BB$25</f>
        <v>14</v>
      </c>
      <c r="G7" s="52" t="s">
        <v>4361</v>
      </c>
      <c r="H7" s="377">
        <v>1</v>
      </c>
      <c r="I7" s="377">
        <v>1</v>
      </c>
      <c r="J7" s="377">
        <v>1</v>
      </c>
      <c r="K7" s="377">
        <v>3</v>
      </c>
      <c r="L7" s="377">
        <v>1</v>
      </c>
      <c r="M7" s="1043"/>
      <c r="O7" s="1043"/>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85"/>
      <c r="AM7" s="1086"/>
      <c r="AN7" s="1086"/>
      <c r="AO7" s="1086"/>
      <c r="AP7" s="1087"/>
    </row>
    <row r="8" spans="1:51" ht="15.75" thickBot="1" x14ac:dyDescent="0.3">
      <c r="A8" t="s">
        <v>4437</v>
      </c>
      <c r="B8" t="s">
        <v>95</v>
      </c>
      <c r="C8" t="s">
        <v>4364</v>
      </c>
      <c r="D8">
        <v>2024</v>
      </c>
      <c r="E8" t="s">
        <v>104</v>
      </c>
      <c r="F8" s="377">
        <f>'Background Data'!$BB$26</f>
        <v>16</v>
      </c>
      <c r="G8" s="52" t="s">
        <v>4362</v>
      </c>
      <c r="H8" s="377">
        <v>1</v>
      </c>
      <c r="I8" s="377">
        <v>1</v>
      </c>
      <c r="J8" s="377">
        <v>1</v>
      </c>
      <c r="K8" s="377">
        <v>3</v>
      </c>
      <c r="L8" s="377">
        <v>1</v>
      </c>
      <c r="M8" s="1043"/>
      <c r="O8" s="1043"/>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88"/>
      <c r="AM8" s="1089"/>
      <c r="AN8" s="1089"/>
      <c r="AO8" s="1089"/>
      <c r="AP8" s="1090"/>
      <c r="AR8" s="28"/>
      <c r="AS8" s="259"/>
      <c r="AT8" s="259"/>
      <c r="AU8" s="259"/>
      <c r="AV8" s="259"/>
      <c r="AW8" s="259"/>
      <c r="AX8" s="259"/>
      <c r="AY8" s="259"/>
    </row>
    <row r="9" spans="1:51" ht="14.45" customHeight="1" x14ac:dyDescent="0.25">
      <c r="A9" t="s">
        <v>4438</v>
      </c>
      <c r="B9" t="s">
        <v>95</v>
      </c>
      <c r="C9" t="s">
        <v>4364</v>
      </c>
      <c r="D9">
        <v>2024</v>
      </c>
      <c r="E9" t="s">
        <v>104</v>
      </c>
      <c r="F9" s="377">
        <f>'Background Data'!$BB$26</f>
        <v>16</v>
      </c>
      <c r="G9" s="52" t="s">
        <v>4362</v>
      </c>
      <c r="H9" s="377">
        <v>1</v>
      </c>
      <c r="I9" s="377">
        <v>1</v>
      </c>
      <c r="J9" s="377">
        <v>1</v>
      </c>
      <c r="K9" s="377">
        <v>3</v>
      </c>
      <c r="L9" s="377">
        <v>1</v>
      </c>
      <c r="M9" s="1043"/>
      <c r="O9" s="1043"/>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4439</v>
      </c>
      <c r="B10" t="s">
        <v>95</v>
      </c>
      <c r="C10" t="s">
        <v>4364</v>
      </c>
      <c r="D10">
        <v>2024</v>
      </c>
      <c r="E10" t="s">
        <v>104</v>
      </c>
      <c r="F10" s="377">
        <f>'Background Data'!$BB$26</f>
        <v>16</v>
      </c>
      <c r="G10" s="52" t="s">
        <v>4362</v>
      </c>
      <c r="H10" s="377">
        <v>1</v>
      </c>
      <c r="I10" s="377">
        <v>1</v>
      </c>
      <c r="J10" s="377">
        <v>1</v>
      </c>
      <c r="K10" s="377">
        <v>3</v>
      </c>
      <c r="L10" s="377">
        <v>1</v>
      </c>
      <c r="M10" s="1043"/>
      <c r="O10" s="1043"/>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4440</v>
      </c>
      <c r="B11" t="s">
        <v>95</v>
      </c>
      <c r="C11" t="s">
        <v>4364</v>
      </c>
      <c r="D11">
        <v>2024</v>
      </c>
      <c r="E11" t="s">
        <v>104</v>
      </c>
      <c r="F11" s="377">
        <f>'Background Data'!$BB$26</f>
        <v>16</v>
      </c>
      <c r="G11" s="52" t="s">
        <v>4362</v>
      </c>
      <c r="H11" s="377">
        <v>1</v>
      </c>
      <c r="I11" s="377">
        <v>1</v>
      </c>
      <c r="J11" s="377">
        <v>1</v>
      </c>
      <c r="K11" s="377">
        <v>3</v>
      </c>
      <c r="L11" s="377">
        <v>1</v>
      </c>
      <c r="M11" s="1043"/>
      <c r="O11" s="1043"/>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4441</v>
      </c>
      <c r="B12" t="s">
        <v>95</v>
      </c>
      <c r="C12" t="s">
        <v>4364</v>
      </c>
      <c r="D12">
        <v>2024</v>
      </c>
      <c r="E12" t="s">
        <v>104</v>
      </c>
      <c r="F12" s="377">
        <f>'Background Data'!$BB$26</f>
        <v>16</v>
      </c>
      <c r="G12" s="52" t="s">
        <v>4362</v>
      </c>
      <c r="H12" s="377">
        <v>1</v>
      </c>
      <c r="I12" s="377">
        <v>1</v>
      </c>
      <c r="J12" s="377">
        <v>1</v>
      </c>
      <c r="K12" s="377">
        <v>3</v>
      </c>
      <c r="L12" s="377">
        <v>1</v>
      </c>
      <c r="M12" s="1043"/>
      <c r="O12" s="1043"/>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4442</v>
      </c>
      <c r="B13" t="s">
        <v>95</v>
      </c>
      <c r="C13" t="s">
        <v>4364</v>
      </c>
      <c r="D13">
        <v>2024</v>
      </c>
      <c r="E13" t="s">
        <v>104</v>
      </c>
      <c r="F13" s="377">
        <f>'Background Data'!$BB$26</f>
        <v>16</v>
      </c>
      <c r="G13" s="52" t="s">
        <v>4362</v>
      </c>
      <c r="H13" s="377">
        <v>1</v>
      </c>
      <c r="I13" s="377">
        <v>1</v>
      </c>
      <c r="J13" s="377">
        <v>1</v>
      </c>
      <c r="K13" s="377">
        <v>3</v>
      </c>
      <c r="L13" s="377">
        <v>1</v>
      </c>
      <c r="M13" s="1043"/>
      <c r="O13" s="1043"/>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4443</v>
      </c>
      <c r="B14" t="s">
        <v>95</v>
      </c>
      <c r="C14" t="s">
        <v>4364</v>
      </c>
      <c r="D14">
        <v>2024</v>
      </c>
      <c r="E14" t="s">
        <v>104</v>
      </c>
      <c r="F14" s="377">
        <f>'Background Data'!$BB$26</f>
        <v>16</v>
      </c>
      <c r="G14" s="52" t="s">
        <v>4362</v>
      </c>
      <c r="H14" s="377">
        <v>1</v>
      </c>
      <c r="I14" s="377">
        <v>1</v>
      </c>
      <c r="J14" s="377">
        <v>1</v>
      </c>
      <c r="K14" s="377">
        <v>3</v>
      </c>
      <c r="L14" s="377">
        <v>1</v>
      </c>
      <c r="M14" s="1043"/>
      <c r="O14" s="1043"/>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4444</v>
      </c>
      <c r="B15" t="s">
        <v>95</v>
      </c>
      <c r="C15" t="s">
        <v>4364</v>
      </c>
      <c r="D15">
        <v>2024</v>
      </c>
      <c r="E15" t="s">
        <v>104</v>
      </c>
      <c r="F15" s="377">
        <f>'Background Data'!$BB$26</f>
        <v>16</v>
      </c>
      <c r="G15" s="52" t="s">
        <v>4362</v>
      </c>
      <c r="H15" s="377">
        <v>1</v>
      </c>
      <c r="I15" s="377">
        <v>1</v>
      </c>
      <c r="J15" s="377">
        <v>1</v>
      </c>
      <c r="K15" s="377">
        <v>3</v>
      </c>
      <c r="L15" s="377">
        <v>1</v>
      </c>
      <c r="M15" s="1043"/>
      <c r="O15" s="1043"/>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4445</v>
      </c>
      <c r="B16" t="s">
        <v>95</v>
      </c>
      <c r="C16" t="s">
        <v>4364</v>
      </c>
      <c r="D16">
        <v>2024</v>
      </c>
      <c r="E16" t="s">
        <v>104</v>
      </c>
      <c r="F16" s="377">
        <f>'Background Data'!$BB$26</f>
        <v>16</v>
      </c>
      <c r="G16" s="52" t="s">
        <v>4362</v>
      </c>
      <c r="H16" s="377">
        <v>1</v>
      </c>
      <c r="I16" s="377">
        <v>1</v>
      </c>
      <c r="J16" s="377">
        <v>1</v>
      </c>
      <c r="K16" s="377">
        <v>3</v>
      </c>
      <c r="L16" s="377">
        <v>1</v>
      </c>
      <c r="M16" s="1043"/>
      <c r="O16" s="1043"/>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4446</v>
      </c>
      <c r="B17" t="s">
        <v>95</v>
      </c>
      <c r="C17" t="s">
        <v>4364</v>
      </c>
      <c r="D17">
        <v>2024</v>
      </c>
      <c r="E17" t="s">
        <v>104</v>
      </c>
      <c r="F17" s="377">
        <f>'Background Data'!$BB$27</f>
        <v>18</v>
      </c>
      <c r="G17" s="52" t="s">
        <v>4363</v>
      </c>
      <c r="H17" s="377">
        <v>1</v>
      </c>
      <c r="I17" s="377">
        <v>1</v>
      </c>
      <c r="J17" s="377">
        <v>1</v>
      </c>
      <c r="K17" s="377">
        <v>3</v>
      </c>
      <c r="L17" s="377">
        <v>1</v>
      </c>
      <c r="M17" s="1043"/>
      <c r="O17" s="1043"/>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4447</v>
      </c>
      <c r="B18" t="s">
        <v>95</v>
      </c>
      <c r="C18" t="s">
        <v>4364</v>
      </c>
      <c r="D18">
        <v>2024</v>
      </c>
      <c r="E18" t="s">
        <v>104</v>
      </c>
      <c r="F18" s="377">
        <f>'Background Data'!$BB$27</f>
        <v>18</v>
      </c>
      <c r="G18" s="52" t="s">
        <v>4363</v>
      </c>
      <c r="H18" s="377">
        <v>1</v>
      </c>
      <c r="I18" s="377">
        <v>1</v>
      </c>
      <c r="J18" s="377">
        <v>1</v>
      </c>
      <c r="K18" s="377">
        <v>3</v>
      </c>
      <c r="L18" s="377">
        <v>1</v>
      </c>
      <c r="M18" s="1043"/>
      <c r="O18" s="1043"/>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4448</v>
      </c>
      <c r="B19" t="s">
        <v>95</v>
      </c>
      <c r="C19" t="s">
        <v>782</v>
      </c>
      <c r="D19">
        <v>2023</v>
      </c>
      <c r="E19" t="s">
        <v>104</v>
      </c>
      <c r="F19" s="377">
        <f>'Background Data'!$BB$28</f>
        <v>19</v>
      </c>
      <c r="G19" s="52" t="s">
        <v>784</v>
      </c>
      <c r="H19" s="377">
        <v>1</v>
      </c>
      <c r="I19" s="377">
        <v>1</v>
      </c>
      <c r="J19" s="377">
        <v>1</v>
      </c>
      <c r="K19" s="377">
        <v>3</v>
      </c>
      <c r="L19" s="377">
        <v>1</v>
      </c>
      <c r="M19" s="1043"/>
      <c r="O19" s="1043"/>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4449</v>
      </c>
      <c r="B20" t="s">
        <v>95</v>
      </c>
      <c r="C20" t="s">
        <v>420</v>
      </c>
      <c r="D20">
        <v>2009</v>
      </c>
      <c r="E20" t="s">
        <v>104</v>
      </c>
      <c r="F20" s="377">
        <f>'Background Data'!$BB$30</f>
        <v>17</v>
      </c>
      <c r="G20" s="52" t="s">
        <v>421</v>
      </c>
      <c r="H20" s="377">
        <v>2</v>
      </c>
      <c r="I20" s="377">
        <v>1</v>
      </c>
      <c r="J20" s="377">
        <v>4</v>
      </c>
      <c r="K20" s="377">
        <v>3</v>
      </c>
      <c r="L20" s="377">
        <v>1</v>
      </c>
      <c r="M20" s="1043"/>
      <c r="O20" s="1043"/>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4450</v>
      </c>
      <c r="B21" t="s">
        <v>95</v>
      </c>
      <c r="C21" t="s">
        <v>170</v>
      </c>
      <c r="D21">
        <v>2022</v>
      </c>
      <c r="E21" t="s">
        <v>104</v>
      </c>
      <c r="F21" s="377">
        <f>'Background Data'!$AG$25</f>
        <v>13</v>
      </c>
      <c r="G21" s="52" t="s">
        <v>429</v>
      </c>
      <c r="H21" s="377">
        <v>1</v>
      </c>
      <c r="I21" s="377">
        <v>1</v>
      </c>
      <c r="J21" s="377">
        <v>1</v>
      </c>
      <c r="K21" s="377">
        <v>1</v>
      </c>
      <c r="L21" s="377">
        <v>1</v>
      </c>
      <c r="M21" s="1043"/>
      <c r="O21" s="1043"/>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4451</v>
      </c>
      <c r="B22" t="s">
        <v>95</v>
      </c>
      <c r="C22" t="s">
        <v>170</v>
      </c>
      <c r="D22">
        <v>2022</v>
      </c>
      <c r="E22" t="s">
        <v>104</v>
      </c>
      <c r="F22" s="377">
        <f>'Background Data'!$AG$25</f>
        <v>13</v>
      </c>
      <c r="G22" s="52" t="s">
        <v>428</v>
      </c>
      <c r="H22" s="377">
        <v>1</v>
      </c>
      <c r="I22" s="377">
        <v>1</v>
      </c>
      <c r="J22" s="377">
        <v>1</v>
      </c>
      <c r="K22" s="377">
        <v>1</v>
      </c>
      <c r="L22" s="377">
        <v>1</v>
      </c>
      <c r="M22" s="1043"/>
      <c r="O22" s="1043"/>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4452</v>
      </c>
      <c r="B23" t="s">
        <v>95</v>
      </c>
      <c r="C23" t="s">
        <v>170</v>
      </c>
      <c r="D23">
        <v>2022</v>
      </c>
      <c r="E23" t="s">
        <v>104</v>
      </c>
      <c r="F23" s="377">
        <f>'Background Data'!$AG$28</f>
        <v>12</v>
      </c>
      <c r="G23" s="52" t="s">
        <v>428</v>
      </c>
      <c r="H23" s="377">
        <v>1</v>
      </c>
      <c r="I23" s="377">
        <v>1</v>
      </c>
      <c r="J23" s="377">
        <v>1</v>
      </c>
      <c r="K23" s="377">
        <v>1</v>
      </c>
      <c r="L23" s="377">
        <v>1</v>
      </c>
      <c r="M23" s="1043"/>
      <c r="O23" s="1043"/>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4453</v>
      </c>
      <c r="B24" t="s">
        <v>95</v>
      </c>
      <c r="C24" t="s">
        <v>170</v>
      </c>
      <c r="D24">
        <v>2022</v>
      </c>
      <c r="E24" t="s">
        <v>104</v>
      </c>
      <c r="F24" s="377">
        <f>'Background Data'!$AG$25</f>
        <v>13</v>
      </c>
      <c r="G24" s="52" t="s">
        <v>429</v>
      </c>
      <c r="H24" s="377">
        <v>1</v>
      </c>
      <c r="I24" s="377">
        <v>1</v>
      </c>
      <c r="J24" s="377">
        <v>1</v>
      </c>
      <c r="K24" s="377">
        <v>1</v>
      </c>
      <c r="L24" s="377">
        <v>1</v>
      </c>
      <c r="M24" s="1043"/>
      <c r="O24" s="1043"/>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4454</v>
      </c>
      <c r="B25" t="s">
        <v>95</v>
      </c>
      <c r="C25" t="s">
        <v>170</v>
      </c>
      <c r="D25">
        <v>2022</v>
      </c>
      <c r="E25" t="s">
        <v>104</v>
      </c>
      <c r="F25" s="377">
        <f>'Background Data'!$AG$25</f>
        <v>13</v>
      </c>
      <c r="G25" s="52" t="s">
        <v>428</v>
      </c>
      <c r="H25" s="377">
        <v>1</v>
      </c>
      <c r="I25" s="377">
        <v>1</v>
      </c>
      <c r="J25" s="377">
        <v>1</v>
      </c>
      <c r="K25" s="377">
        <v>1</v>
      </c>
      <c r="L25" s="377">
        <v>1</v>
      </c>
      <c r="M25" s="1043"/>
      <c r="O25" s="1043"/>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4455</v>
      </c>
      <c r="B26" t="s">
        <v>95</v>
      </c>
      <c r="C26" t="s">
        <v>170</v>
      </c>
      <c r="D26">
        <v>2022</v>
      </c>
      <c r="E26" t="s">
        <v>104</v>
      </c>
      <c r="F26" s="377">
        <f>'Background Data'!$AG$28</f>
        <v>12</v>
      </c>
      <c r="G26" s="52" t="s">
        <v>428</v>
      </c>
      <c r="H26" s="377">
        <v>1</v>
      </c>
      <c r="I26" s="377">
        <v>1</v>
      </c>
      <c r="J26" s="377">
        <v>1</v>
      </c>
      <c r="K26" s="377">
        <v>1</v>
      </c>
      <c r="L26" s="377">
        <v>1</v>
      </c>
      <c r="M26" s="1043"/>
      <c r="O26" s="1043"/>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4456</v>
      </c>
      <c r="B27" t="s">
        <v>95</v>
      </c>
      <c r="C27" t="s">
        <v>170</v>
      </c>
      <c r="D27">
        <v>2022</v>
      </c>
      <c r="E27" t="s">
        <v>104</v>
      </c>
      <c r="F27" s="377">
        <f>'Background Data'!$AG$27</f>
        <v>13</v>
      </c>
      <c r="G27" s="52" t="s">
        <v>428</v>
      </c>
      <c r="H27" s="377">
        <v>1</v>
      </c>
      <c r="I27" s="377">
        <v>1</v>
      </c>
      <c r="J27" s="377">
        <v>1</v>
      </c>
      <c r="K27" s="377">
        <v>1</v>
      </c>
      <c r="L27" s="377">
        <v>1</v>
      </c>
      <c r="M27" s="1043"/>
      <c r="O27" s="1043"/>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4457</v>
      </c>
      <c r="B28" t="s">
        <v>95</v>
      </c>
      <c r="C28" t="s">
        <v>170</v>
      </c>
      <c r="D28">
        <v>2022</v>
      </c>
      <c r="E28" t="s">
        <v>104</v>
      </c>
      <c r="F28" s="377">
        <f>'Background Data'!$AG$25</f>
        <v>13</v>
      </c>
      <c r="G28" s="52" t="s">
        <v>429</v>
      </c>
      <c r="H28" s="377">
        <v>1</v>
      </c>
      <c r="I28" s="377">
        <v>1</v>
      </c>
      <c r="J28" s="377">
        <v>1</v>
      </c>
      <c r="K28" s="377">
        <v>1</v>
      </c>
      <c r="L28" s="377">
        <v>1</v>
      </c>
      <c r="M28" s="1043"/>
      <c r="O28" s="1043"/>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4458</v>
      </c>
      <c r="B29" t="s">
        <v>95</v>
      </c>
      <c r="C29" t="s">
        <v>170</v>
      </c>
      <c r="D29">
        <v>2022</v>
      </c>
      <c r="E29" t="s">
        <v>104</v>
      </c>
      <c r="F29" s="377">
        <f>'Background Data'!$AG$25</f>
        <v>13</v>
      </c>
      <c r="G29" s="52" t="s">
        <v>428</v>
      </c>
      <c r="H29" s="377">
        <v>1</v>
      </c>
      <c r="I29" s="377">
        <v>1</v>
      </c>
      <c r="J29" s="377">
        <v>1</v>
      </c>
      <c r="K29" s="377">
        <v>1</v>
      </c>
      <c r="L29" s="377">
        <v>1</v>
      </c>
      <c r="M29" s="1043"/>
      <c r="O29" s="1043"/>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4459</v>
      </c>
      <c r="B30" t="s">
        <v>95</v>
      </c>
      <c r="C30" t="s">
        <v>4301</v>
      </c>
      <c r="D30">
        <v>2013</v>
      </c>
      <c r="E30" t="s">
        <v>104</v>
      </c>
      <c r="F30" s="377">
        <f>'Background Data'!$BB$31</f>
        <v>24</v>
      </c>
      <c r="G30" s="52" t="s">
        <v>430</v>
      </c>
      <c r="H30" s="377">
        <v>3</v>
      </c>
      <c r="I30" s="377">
        <v>1</v>
      </c>
      <c r="J30" s="377">
        <v>3</v>
      </c>
      <c r="K30" s="377">
        <v>3</v>
      </c>
      <c r="L30" s="377">
        <v>1</v>
      </c>
      <c r="M30" s="1043"/>
      <c r="O30" s="1043"/>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4460</v>
      </c>
      <c r="B31" t="s">
        <v>95</v>
      </c>
      <c r="C31" t="s">
        <v>4301</v>
      </c>
      <c r="D31">
        <v>2013</v>
      </c>
      <c r="E31" t="s">
        <v>104</v>
      </c>
      <c r="F31" s="377">
        <f>'Background Data'!$BB$31</f>
        <v>24</v>
      </c>
      <c r="G31" s="52" t="s">
        <v>430</v>
      </c>
      <c r="H31" s="377">
        <v>3</v>
      </c>
      <c r="I31" s="377">
        <v>1</v>
      </c>
      <c r="J31" s="377">
        <v>3</v>
      </c>
      <c r="K31" s="377">
        <v>3</v>
      </c>
      <c r="L31" s="377">
        <v>1</v>
      </c>
      <c r="M31" s="1043"/>
      <c r="O31" s="1043"/>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4487</v>
      </c>
      <c r="B32" t="s">
        <v>95</v>
      </c>
      <c r="C32" t="s">
        <v>1644</v>
      </c>
      <c r="D32">
        <v>2022</v>
      </c>
      <c r="E32" t="s">
        <v>104</v>
      </c>
      <c r="F32" s="377">
        <f>'Background Data'!$BB$32</f>
        <v>30</v>
      </c>
      <c r="G32" s="52" t="s">
        <v>1787</v>
      </c>
      <c r="H32" s="377">
        <v>3</v>
      </c>
      <c r="I32" s="377">
        <v>1</v>
      </c>
      <c r="J32" s="377">
        <v>1</v>
      </c>
      <c r="K32" s="377">
        <v>3</v>
      </c>
      <c r="L32" s="377">
        <v>1</v>
      </c>
      <c r="M32" s="1043"/>
      <c r="O32" s="1043"/>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4488</v>
      </c>
      <c r="B33" t="s">
        <v>95</v>
      </c>
      <c r="C33" t="s">
        <v>1644</v>
      </c>
      <c r="D33">
        <v>2022</v>
      </c>
      <c r="E33" t="s">
        <v>104</v>
      </c>
      <c r="F33" s="377">
        <f>'Background Data'!$BB$32</f>
        <v>30</v>
      </c>
      <c r="G33" s="52" t="s">
        <v>1787</v>
      </c>
      <c r="H33" s="377">
        <v>3</v>
      </c>
      <c r="I33" s="377">
        <v>1</v>
      </c>
      <c r="J33" s="377">
        <v>1</v>
      </c>
      <c r="K33" s="377">
        <v>3</v>
      </c>
      <c r="L33" s="377">
        <v>1</v>
      </c>
      <c r="M33" s="1043"/>
      <c r="O33" s="1043"/>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4461</v>
      </c>
      <c r="B34" t="s">
        <v>95</v>
      </c>
      <c r="C34" t="s">
        <v>1644</v>
      </c>
      <c r="D34">
        <v>2022</v>
      </c>
      <c r="E34" t="s">
        <v>104</v>
      </c>
      <c r="F34" s="377">
        <f>'Background Data'!$BB$33</f>
        <v>30</v>
      </c>
      <c r="G34" s="52" t="s">
        <v>1787</v>
      </c>
      <c r="H34" s="377">
        <v>3</v>
      </c>
      <c r="I34" s="377">
        <v>1</v>
      </c>
      <c r="J34" s="377">
        <v>1</v>
      </c>
      <c r="K34" s="377">
        <v>3</v>
      </c>
      <c r="L34" s="377">
        <v>1</v>
      </c>
      <c r="M34" s="1043"/>
      <c r="O34" s="1043"/>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1" t="s">
        <v>4376</v>
      </c>
      <c r="X34" s="1091"/>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4462</v>
      </c>
      <c r="B35" s="202" t="s">
        <v>95</v>
      </c>
      <c r="C35" s="202" t="s">
        <v>1644</v>
      </c>
      <c r="D35" s="202">
        <v>2022</v>
      </c>
      <c r="E35" s="202" t="s">
        <v>104</v>
      </c>
      <c r="F35" s="742">
        <f>'Background Data'!$BB$33</f>
        <v>30</v>
      </c>
      <c r="G35" s="203" t="s">
        <v>1787</v>
      </c>
      <c r="H35" s="742">
        <v>3</v>
      </c>
      <c r="I35" s="742">
        <v>1</v>
      </c>
      <c r="J35" s="742">
        <v>1</v>
      </c>
      <c r="K35" s="742">
        <v>3</v>
      </c>
      <c r="L35" s="742">
        <v>1</v>
      </c>
      <c r="M35" s="1043"/>
      <c r="O35" s="1043"/>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1"/>
      <c r="X35" s="1091"/>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4364</v>
      </c>
      <c r="D36">
        <v>2024</v>
      </c>
      <c r="E36" t="s">
        <v>104</v>
      </c>
      <c r="F36" s="377">
        <f>'Background Data'!$BB$25</f>
        <v>14</v>
      </c>
      <c r="G36" s="52" t="s">
        <v>4361</v>
      </c>
      <c r="H36" s="377">
        <v>1</v>
      </c>
      <c r="I36" s="377">
        <v>1</v>
      </c>
      <c r="J36" s="377">
        <v>1</v>
      </c>
      <c r="K36" s="377">
        <v>3</v>
      </c>
      <c r="L36" s="377">
        <v>1</v>
      </c>
      <c r="M36" s="1043"/>
      <c r="O36" s="1043"/>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4364</v>
      </c>
      <c r="D37">
        <v>2024</v>
      </c>
      <c r="E37" t="s">
        <v>104</v>
      </c>
      <c r="F37" s="377">
        <f>'Background Data'!$BB$25</f>
        <v>14</v>
      </c>
      <c r="G37" s="52" t="s">
        <v>4361</v>
      </c>
      <c r="H37" s="377">
        <v>1</v>
      </c>
      <c r="I37" s="377">
        <v>1</v>
      </c>
      <c r="J37" s="377">
        <v>1</v>
      </c>
      <c r="K37" s="377">
        <v>3</v>
      </c>
      <c r="L37" s="377">
        <v>1</v>
      </c>
      <c r="M37" s="1043"/>
      <c r="O37" s="1043"/>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4364</v>
      </c>
      <c r="D38">
        <v>2024</v>
      </c>
      <c r="E38" t="s">
        <v>104</v>
      </c>
      <c r="F38" s="377">
        <f>'Background Data'!$BB$25</f>
        <v>14</v>
      </c>
      <c r="G38" s="52" t="s">
        <v>4361</v>
      </c>
      <c r="H38" s="377">
        <v>1</v>
      </c>
      <c r="I38" s="377">
        <v>1</v>
      </c>
      <c r="J38" s="377">
        <v>1</v>
      </c>
      <c r="K38" s="377">
        <v>3</v>
      </c>
      <c r="L38" s="377">
        <v>1</v>
      </c>
      <c r="M38" s="1043"/>
      <c r="O38" s="1043"/>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4364</v>
      </c>
      <c r="D39">
        <v>2024</v>
      </c>
      <c r="E39" t="s">
        <v>104</v>
      </c>
      <c r="F39" s="377">
        <f>'Background Data'!$BB$25</f>
        <v>14</v>
      </c>
      <c r="G39" s="52" t="s">
        <v>4361</v>
      </c>
      <c r="H39" s="377">
        <v>1</v>
      </c>
      <c r="I39" s="377">
        <v>1</v>
      </c>
      <c r="J39" s="377">
        <v>1</v>
      </c>
      <c r="K39" s="377">
        <v>3</v>
      </c>
      <c r="L39" s="377">
        <v>1</v>
      </c>
      <c r="M39" s="1043"/>
      <c r="O39" s="1043"/>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4390</v>
      </c>
      <c r="B40" t="s">
        <v>95</v>
      </c>
      <c r="C40" t="s">
        <v>4364</v>
      </c>
      <c r="D40">
        <v>2024</v>
      </c>
      <c r="E40" t="s">
        <v>104</v>
      </c>
      <c r="F40" s="377">
        <f>'Background Data'!$BB$25</f>
        <v>14</v>
      </c>
      <c r="G40" s="52" t="s">
        <v>4361</v>
      </c>
      <c r="H40" s="377">
        <v>1</v>
      </c>
      <c r="I40" s="377">
        <v>1</v>
      </c>
      <c r="J40" s="377">
        <v>1</v>
      </c>
      <c r="K40" s="377">
        <v>3</v>
      </c>
      <c r="L40" s="377">
        <v>1</v>
      </c>
      <c r="M40" s="1043"/>
      <c r="O40" s="1043"/>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4364</v>
      </c>
      <c r="D41">
        <v>2024</v>
      </c>
      <c r="E41" t="s">
        <v>104</v>
      </c>
      <c r="F41" s="377">
        <f>'Background Data'!$BB$25</f>
        <v>14</v>
      </c>
      <c r="G41" s="52" t="s">
        <v>4361</v>
      </c>
      <c r="H41" s="377">
        <v>1</v>
      </c>
      <c r="I41" s="377">
        <v>1</v>
      </c>
      <c r="J41" s="377">
        <v>1</v>
      </c>
      <c r="K41" s="377">
        <v>3</v>
      </c>
      <c r="L41" s="377">
        <v>1</v>
      </c>
      <c r="M41" s="1043"/>
      <c r="O41" s="1043"/>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4395</v>
      </c>
      <c r="B42" t="s">
        <v>95</v>
      </c>
      <c r="C42" t="s">
        <v>4364</v>
      </c>
      <c r="D42">
        <v>2024</v>
      </c>
      <c r="E42" t="s">
        <v>104</v>
      </c>
      <c r="F42" s="377">
        <f>'Background Data'!$BB$25</f>
        <v>14</v>
      </c>
      <c r="G42" s="52" t="s">
        <v>4361</v>
      </c>
      <c r="H42" s="377">
        <v>1</v>
      </c>
      <c r="I42" s="377">
        <v>1</v>
      </c>
      <c r="J42" s="377">
        <v>1</v>
      </c>
      <c r="K42" s="377">
        <v>3</v>
      </c>
      <c r="L42" s="377">
        <v>1</v>
      </c>
      <c r="M42" s="1043"/>
      <c r="O42" s="1043"/>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4364</v>
      </c>
      <c r="D43">
        <v>2024</v>
      </c>
      <c r="E43" t="s">
        <v>104</v>
      </c>
      <c r="F43" s="377">
        <f>'Background Data'!$BB$25</f>
        <v>14</v>
      </c>
      <c r="G43" s="52" t="s">
        <v>4361</v>
      </c>
      <c r="H43" s="377">
        <v>1</v>
      </c>
      <c r="I43" s="377">
        <v>1</v>
      </c>
      <c r="J43" s="377">
        <v>1</v>
      </c>
      <c r="K43" s="377">
        <v>3</v>
      </c>
      <c r="L43" s="377">
        <v>1</v>
      </c>
      <c r="M43" s="1043"/>
      <c r="O43" s="1043"/>
    </row>
    <row r="44" spans="1:42" ht="15.75" x14ac:dyDescent="0.25">
      <c r="A44" t="s">
        <v>1011</v>
      </c>
      <c r="B44" t="s">
        <v>95</v>
      </c>
      <c r="C44" t="s">
        <v>4364</v>
      </c>
      <c r="D44">
        <v>2024</v>
      </c>
      <c r="E44" t="s">
        <v>104</v>
      </c>
      <c r="F44" s="377">
        <f>'Background Data'!$BB$25</f>
        <v>14</v>
      </c>
      <c r="G44" s="52" t="s">
        <v>4361</v>
      </c>
      <c r="H44" s="377">
        <v>1</v>
      </c>
      <c r="I44" s="377">
        <v>1</v>
      </c>
      <c r="J44" s="377">
        <v>1</v>
      </c>
      <c r="K44" s="377">
        <v>3</v>
      </c>
      <c r="L44" s="377">
        <v>1</v>
      </c>
      <c r="M44" s="1043"/>
      <c r="O44" s="1043"/>
      <c r="AE44" s="159" t="s">
        <v>4378</v>
      </c>
      <c r="AL44" s="1008" t="s">
        <v>4379</v>
      </c>
      <c r="AM44" s="234"/>
      <c r="AN44" s="234"/>
      <c r="AO44" s="234"/>
      <c r="AP44" s="235"/>
    </row>
    <row r="45" spans="1:42" ht="15.75" thickBot="1" x14ac:dyDescent="0.3">
      <c r="A45" t="s">
        <v>1012</v>
      </c>
      <c r="B45" t="s">
        <v>95</v>
      </c>
      <c r="C45" t="s">
        <v>4364</v>
      </c>
      <c r="D45">
        <v>2024</v>
      </c>
      <c r="E45" t="s">
        <v>104</v>
      </c>
      <c r="F45" s="377">
        <f>'Background Data'!$BB$25</f>
        <v>14</v>
      </c>
      <c r="G45" s="52" t="s">
        <v>4361</v>
      </c>
      <c r="H45" s="377">
        <v>1</v>
      </c>
      <c r="I45" s="377">
        <v>1</v>
      </c>
      <c r="J45" s="377">
        <v>1</v>
      </c>
      <c r="K45" s="377">
        <v>3</v>
      </c>
      <c r="L45" s="377">
        <v>1</v>
      </c>
      <c r="M45" s="1043"/>
      <c r="O45" s="1043"/>
      <c r="AE45" s="88" t="s">
        <v>4353</v>
      </c>
      <c r="AF45" s="88" t="s">
        <v>17</v>
      </c>
      <c r="AG45" s="88" t="s">
        <v>1474</v>
      </c>
      <c r="AH45" s="88" t="s">
        <v>1481</v>
      </c>
      <c r="AI45" s="88" t="s">
        <v>41</v>
      </c>
      <c r="AL45" s="594" t="s">
        <v>4365</v>
      </c>
      <c r="AM45" s="88" t="s">
        <v>17</v>
      </c>
      <c r="AN45" s="88" t="s">
        <v>1474</v>
      </c>
      <c r="AO45" s="88" t="s">
        <v>1481</v>
      </c>
      <c r="AP45" s="110" t="s">
        <v>41</v>
      </c>
    </row>
    <row r="46" spans="1:42" ht="15.75" thickTop="1" x14ac:dyDescent="0.25">
      <c r="A46" t="s">
        <v>4420</v>
      </c>
      <c r="B46" t="s">
        <v>95</v>
      </c>
      <c r="C46" t="s">
        <v>4364</v>
      </c>
      <c r="D46">
        <v>2024</v>
      </c>
      <c r="E46" t="s">
        <v>104</v>
      </c>
      <c r="F46" s="377">
        <f>'Background Data'!$BB$25</f>
        <v>14</v>
      </c>
      <c r="G46" s="52" t="s">
        <v>4361</v>
      </c>
      <c r="H46" s="377">
        <v>1</v>
      </c>
      <c r="I46" s="377">
        <v>1</v>
      </c>
      <c r="J46" s="377">
        <v>1</v>
      </c>
      <c r="K46" s="377">
        <v>3</v>
      </c>
      <c r="L46" s="377">
        <v>1</v>
      </c>
      <c r="M46" s="1043"/>
      <c r="O46" s="1043"/>
      <c r="AE46">
        <v>0</v>
      </c>
      <c r="AF46" s="907">
        <v>0</v>
      </c>
      <c r="AG46" s="907">
        <v>0</v>
      </c>
      <c r="AH46" s="907">
        <v>0</v>
      </c>
      <c r="AI46" s="907">
        <v>0</v>
      </c>
      <c r="AL46" s="405" t="s">
        <v>4799</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4364</v>
      </c>
      <c r="D47">
        <v>2024</v>
      </c>
      <c r="E47" t="s">
        <v>104</v>
      </c>
      <c r="F47" s="377">
        <f>'Background Data'!$BB$26</f>
        <v>16</v>
      </c>
      <c r="G47" s="52" t="s">
        <v>4362</v>
      </c>
      <c r="H47" s="377">
        <v>1</v>
      </c>
      <c r="I47" s="377">
        <v>1</v>
      </c>
      <c r="J47" s="377">
        <v>1</v>
      </c>
      <c r="K47" s="377">
        <v>3</v>
      </c>
      <c r="L47" s="377">
        <v>1</v>
      </c>
      <c r="M47" s="1043"/>
      <c r="O47" s="1043"/>
      <c r="AE47">
        <v>1</v>
      </c>
      <c r="AF47" s="907">
        <v>6.5676097538820422E-3</v>
      </c>
      <c r="AG47" s="907">
        <v>6.9477278293709199E-3</v>
      </c>
      <c r="AH47" s="907">
        <v>7.0663370000000336E-3</v>
      </c>
      <c r="AI47" s="907">
        <v>0</v>
      </c>
      <c r="AL47" s="405" t="s">
        <v>4800</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4364</v>
      </c>
      <c r="D48">
        <v>2024</v>
      </c>
      <c r="E48" t="s">
        <v>104</v>
      </c>
      <c r="F48" s="377">
        <f>'Background Data'!$BB$26</f>
        <v>16</v>
      </c>
      <c r="G48" s="52" t="s">
        <v>4362</v>
      </c>
      <c r="H48" s="377">
        <v>1</v>
      </c>
      <c r="I48" s="377">
        <v>1</v>
      </c>
      <c r="J48" s="377">
        <v>1</v>
      </c>
      <c r="K48" s="377">
        <v>3</v>
      </c>
      <c r="L48" s="377">
        <v>1</v>
      </c>
      <c r="M48" s="1043"/>
      <c r="O48" s="1043"/>
      <c r="AE48">
        <v>2</v>
      </c>
      <c r="AF48" s="907">
        <v>8.3698176755049314E-3</v>
      </c>
      <c r="AG48" s="907">
        <v>8.3640266465814239E-3</v>
      </c>
      <c r="AH48" s="907">
        <v>6.3008959999999448E-3</v>
      </c>
      <c r="AI48" s="907">
        <v>0</v>
      </c>
      <c r="AL48" s="405" t="s">
        <v>4801</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4364</v>
      </c>
      <c r="D49">
        <v>2024</v>
      </c>
      <c r="E49" t="s">
        <v>104</v>
      </c>
      <c r="F49" s="377">
        <f>'Background Data'!$BB$26</f>
        <v>16</v>
      </c>
      <c r="G49" s="52" t="s">
        <v>4362</v>
      </c>
      <c r="H49" s="377">
        <v>1</v>
      </c>
      <c r="I49" s="377">
        <v>1</v>
      </c>
      <c r="J49" s="377">
        <v>1</v>
      </c>
      <c r="K49" s="377">
        <v>3</v>
      </c>
      <c r="L49" s="377">
        <v>1</v>
      </c>
      <c r="M49" s="1043"/>
      <c r="O49" s="1043"/>
      <c r="AE49">
        <v>3</v>
      </c>
      <c r="AF49" s="907">
        <v>1.1170272022762773E-2</v>
      </c>
      <c r="AG49" s="907">
        <v>1.0501639201483837E-2</v>
      </c>
      <c r="AH49" s="907">
        <v>6.0017599999999671E-3</v>
      </c>
      <c r="AI49" s="907">
        <v>9.3829104377274319E-5</v>
      </c>
      <c r="AL49" s="405" t="s">
        <v>4805</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4364</v>
      </c>
      <c r="D50">
        <v>2024</v>
      </c>
      <c r="E50" t="s">
        <v>104</v>
      </c>
      <c r="F50" s="377">
        <f>'Background Data'!$BB$26</f>
        <v>16</v>
      </c>
      <c r="G50" s="52" t="s">
        <v>4362</v>
      </c>
      <c r="H50" s="377">
        <v>1</v>
      </c>
      <c r="I50" s="377">
        <v>1</v>
      </c>
      <c r="J50" s="377">
        <v>1</v>
      </c>
      <c r="K50" s="377">
        <v>3</v>
      </c>
      <c r="L50" s="377">
        <v>1</v>
      </c>
      <c r="M50" s="1043"/>
      <c r="O50" s="1043"/>
      <c r="AE50">
        <v>4</v>
      </c>
      <c r="AF50" s="907">
        <v>1.4699911244975827E-2</v>
      </c>
      <c r="AG50" s="907">
        <v>1.3071786834050747E-2</v>
      </c>
      <c r="AH50" s="907">
        <v>7.1164840000000895E-3</v>
      </c>
      <c r="AI50" s="907">
        <v>5.4376360209211771E-3</v>
      </c>
      <c r="AL50" s="405" t="s">
        <v>4802</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4391</v>
      </c>
      <c r="B51" t="s">
        <v>95</v>
      </c>
      <c r="C51" t="s">
        <v>4364</v>
      </c>
      <c r="D51">
        <v>2024</v>
      </c>
      <c r="E51" t="s">
        <v>104</v>
      </c>
      <c r="F51" s="377">
        <f>'Background Data'!$BB$26</f>
        <v>16</v>
      </c>
      <c r="G51" s="52" t="s">
        <v>4362</v>
      </c>
      <c r="H51" s="377">
        <v>1</v>
      </c>
      <c r="I51" s="377">
        <v>1</v>
      </c>
      <c r="J51" s="377">
        <v>1</v>
      </c>
      <c r="K51" s="377">
        <v>3</v>
      </c>
      <c r="L51" s="377">
        <v>1</v>
      </c>
      <c r="AE51">
        <v>5</v>
      </c>
      <c r="AF51" s="907">
        <v>1.8484443801563333E-2</v>
      </c>
      <c r="AG51" s="907">
        <v>1.6012943572506377E-2</v>
      </c>
      <c r="AH51" s="907">
        <v>8.1812289999999566E-3</v>
      </c>
      <c r="AI51" s="907">
        <v>1.0310001858311768E-2</v>
      </c>
      <c r="AL51" s="405" t="s">
        <v>4803</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4364</v>
      </c>
      <c r="D52">
        <v>2024</v>
      </c>
      <c r="E52" t="s">
        <v>104</v>
      </c>
      <c r="F52" s="377">
        <f>'Background Data'!$BB$26</f>
        <v>16</v>
      </c>
      <c r="G52" s="52" t="s">
        <v>4362</v>
      </c>
      <c r="H52" s="377">
        <v>1</v>
      </c>
      <c r="I52" s="377">
        <v>1</v>
      </c>
      <c r="J52" s="377">
        <v>1</v>
      </c>
      <c r="K52" s="377">
        <v>3</v>
      </c>
      <c r="L52" s="377">
        <v>1</v>
      </c>
      <c r="AE52">
        <v>6</v>
      </c>
      <c r="AF52" s="907">
        <v>2.3819146773279565E-2</v>
      </c>
      <c r="AG52" s="907">
        <v>1.9838224194210552E-2</v>
      </c>
      <c r="AH52" s="907">
        <v>1.2187492000000022E-2</v>
      </c>
      <c r="AI52" s="907">
        <v>1.4732252677482238E-2</v>
      </c>
      <c r="AL52" s="595" t="s">
        <v>4804</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4396</v>
      </c>
      <c r="B53" t="s">
        <v>95</v>
      </c>
      <c r="C53" t="s">
        <v>4364</v>
      </c>
      <c r="D53">
        <v>2024</v>
      </c>
      <c r="E53" t="s">
        <v>104</v>
      </c>
      <c r="F53" s="377">
        <f>'Background Data'!$BB$26</f>
        <v>16</v>
      </c>
      <c r="G53" s="52" t="s">
        <v>4362</v>
      </c>
      <c r="H53" s="377">
        <v>1</v>
      </c>
      <c r="I53" s="377">
        <v>1</v>
      </c>
      <c r="J53" s="377">
        <v>1</v>
      </c>
      <c r="K53" s="377">
        <v>3</v>
      </c>
      <c r="L53" s="377">
        <v>1</v>
      </c>
      <c r="AE53">
        <v>7</v>
      </c>
      <c r="AF53" s="907">
        <v>2.9892786497910162E-2</v>
      </c>
      <c r="AG53" s="907">
        <v>2.4151252586176897E-2</v>
      </c>
      <c r="AH53" s="907">
        <v>1.4668983999999941E-2</v>
      </c>
      <c r="AI53" s="907">
        <v>1.8725714539366001E-2</v>
      </c>
      <c r="AL53" s="595" t="s">
        <v>4806</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4364</v>
      </c>
      <c r="D54">
        <v>2024</v>
      </c>
      <c r="E54" t="s">
        <v>104</v>
      </c>
      <c r="F54" s="377">
        <f>'Background Data'!$BB$26</f>
        <v>16</v>
      </c>
      <c r="G54" s="52" t="s">
        <v>4362</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4364</v>
      </c>
      <c r="D55">
        <v>2024</v>
      </c>
      <c r="E55" t="s">
        <v>104</v>
      </c>
      <c r="F55" s="377">
        <f>'Background Data'!$BB$26</f>
        <v>16</v>
      </c>
      <c r="G55" s="52" t="s">
        <v>4362</v>
      </c>
      <c r="H55" s="377">
        <v>1</v>
      </c>
      <c r="I55" s="377">
        <v>1</v>
      </c>
      <c r="J55" s="377">
        <v>1</v>
      </c>
      <c r="K55" s="377">
        <v>3</v>
      </c>
      <c r="L55" s="377">
        <v>1</v>
      </c>
      <c r="AE55">
        <v>9</v>
      </c>
      <c r="AF55" s="390">
        <v>4.3748088752408876E-2</v>
      </c>
      <c r="AG55" s="390">
        <v>3.434074505447493E-2</v>
      </c>
      <c r="AH55" s="907">
        <v>2.4306344999999951E-2</v>
      </c>
      <c r="AI55" s="907">
        <v>2.55115756350065E-2</v>
      </c>
      <c r="AL55" s="909" t="s">
        <v>4807</v>
      </c>
      <c r="AM55" s="70"/>
      <c r="AN55" s="70"/>
      <c r="AO55" s="70"/>
      <c r="AP55" s="295"/>
    </row>
    <row r="56" spans="1:42" ht="15.75" thickBot="1" x14ac:dyDescent="0.3">
      <c r="A56" t="s">
        <v>1022</v>
      </c>
      <c r="B56" t="s">
        <v>95</v>
      </c>
      <c r="C56" t="s">
        <v>4364</v>
      </c>
      <c r="D56">
        <v>2024</v>
      </c>
      <c r="E56" t="s">
        <v>104</v>
      </c>
      <c r="F56" s="377">
        <f>'Background Data'!$BB$26</f>
        <v>16</v>
      </c>
      <c r="G56" s="52" t="s">
        <v>4362</v>
      </c>
      <c r="H56" s="377">
        <v>1</v>
      </c>
      <c r="I56" s="377">
        <v>1</v>
      </c>
      <c r="J56" s="377">
        <v>1</v>
      </c>
      <c r="K56" s="377">
        <v>3</v>
      </c>
      <c r="L56" s="377">
        <v>1</v>
      </c>
      <c r="AE56">
        <v>10</v>
      </c>
      <c r="AF56" s="390">
        <v>5.1472256463245047E-2</v>
      </c>
      <c r="AG56" s="390">
        <v>3.9952950504512641E-2</v>
      </c>
      <c r="AH56" s="390">
        <v>3.3742757000000068E-2</v>
      </c>
      <c r="AI56" s="907">
        <v>2.8346626990629953E-2</v>
      </c>
      <c r="AL56" s="232" t="s">
        <v>4365</v>
      </c>
      <c r="AM56" s="88" t="s">
        <v>17</v>
      </c>
      <c r="AN56" s="88" t="s">
        <v>1474</v>
      </c>
      <c r="AO56" s="88" t="s">
        <v>1481</v>
      </c>
      <c r="AP56" s="378" t="s">
        <v>41</v>
      </c>
    </row>
    <row r="57" spans="1:42" ht="15.75" thickTop="1" x14ac:dyDescent="0.25">
      <c r="A57" t="s">
        <v>4421</v>
      </c>
      <c r="B57" t="s">
        <v>95</v>
      </c>
      <c r="C57" t="s">
        <v>4364</v>
      </c>
      <c r="D57">
        <v>2024</v>
      </c>
      <c r="E57" t="s">
        <v>104</v>
      </c>
      <c r="F57" s="377">
        <f>'Background Data'!$BB$26</f>
        <v>16</v>
      </c>
      <c r="G57" s="52" t="s">
        <v>4362</v>
      </c>
      <c r="H57" s="377">
        <v>1</v>
      </c>
      <c r="I57" s="377">
        <v>1</v>
      </c>
      <c r="J57" s="377">
        <v>1</v>
      </c>
      <c r="K57" s="377">
        <v>3</v>
      </c>
      <c r="L57" s="377">
        <v>1</v>
      </c>
      <c r="AE57">
        <v>11</v>
      </c>
      <c r="AF57" s="907">
        <v>5.9552371913176638E-2</v>
      </c>
      <c r="AG57" s="390">
        <v>4.6091098648304407E-2</v>
      </c>
      <c r="AH57" s="390">
        <v>3.4719186000000013E-2</v>
      </c>
      <c r="AI57" s="390">
        <v>3.0838193632699906E-2</v>
      </c>
      <c r="AL57" s="379" t="s">
        <v>4799</v>
      </c>
      <c r="AM57" s="73">
        <f t="shared" ref="AM57:AM63" si="7">FLOOR(AM46, 1)</f>
        <v>4</v>
      </c>
      <c r="AN57" s="73">
        <f t="shared" ref="AN57:AP57" si="8">FLOOR(AN46, 1)</f>
        <v>5</v>
      </c>
      <c r="AO57" s="73">
        <f>ROUND(AO46, 0)</f>
        <v>6</v>
      </c>
      <c r="AP57" s="380">
        <f t="shared" si="8"/>
        <v>7</v>
      </c>
    </row>
    <row r="58" spans="1:42" x14ac:dyDescent="0.25">
      <c r="A58" t="s">
        <v>1033</v>
      </c>
      <c r="B58" t="s">
        <v>95</v>
      </c>
      <c r="C58" t="s">
        <v>4364</v>
      </c>
      <c r="D58">
        <v>2024</v>
      </c>
      <c r="E58" t="s">
        <v>104</v>
      </c>
      <c r="F58" s="377">
        <f>'Background Data'!$BB$26</f>
        <v>16</v>
      </c>
      <c r="G58" s="52" t="s">
        <v>4362</v>
      </c>
      <c r="H58" s="377">
        <v>1</v>
      </c>
      <c r="I58" s="377">
        <v>1</v>
      </c>
      <c r="J58" s="377">
        <v>1</v>
      </c>
      <c r="K58" s="377">
        <v>3</v>
      </c>
      <c r="L58" s="377">
        <v>1</v>
      </c>
      <c r="AE58">
        <v>12</v>
      </c>
      <c r="AF58" s="907">
        <v>6.5969998573192523E-2</v>
      </c>
      <c r="AG58" s="907">
        <v>5.1506594313424414E-2</v>
      </c>
      <c r="AH58" s="390">
        <v>4.0008475999999904E-2</v>
      </c>
      <c r="AI58" s="390">
        <v>3.3007601622149774E-2</v>
      </c>
      <c r="AL58" s="379" t="s">
        <v>4800</v>
      </c>
      <c r="AM58" s="73">
        <f t="shared" si="7"/>
        <v>9</v>
      </c>
      <c r="AN58" s="73">
        <f t="shared" ref="AN58:AP58" si="9">FLOOR(AN47, 1)</f>
        <v>10</v>
      </c>
      <c r="AO58" s="73">
        <f t="shared" si="9"/>
        <v>11</v>
      </c>
      <c r="AP58" s="380">
        <f t="shared" si="9"/>
        <v>12</v>
      </c>
    </row>
    <row r="59" spans="1:42" x14ac:dyDescent="0.25">
      <c r="A59" t="s">
        <v>1034</v>
      </c>
      <c r="B59" t="s">
        <v>95</v>
      </c>
      <c r="C59" t="s">
        <v>4364</v>
      </c>
      <c r="D59">
        <v>2024</v>
      </c>
      <c r="E59" t="s">
        <v>104</v>
      </c>
      <c r="F59" s="377">
        <f>'Background Data'!$BB$26</f>
        <v>16</v>
      </c>
      <c r="G59" s="52" t="s">
        <v>4362</v>
      </c>
      <c r="H59" s="377">
        <v>1</v>
      </c>
      <c r="I59" s="377">
        <v>1</v>
      </c>
      <c r="J59" s="377">
        <v>1</v>
      </c>
      <c r="K59" s="377">
        <v>3</v>
      </c>
      <c r="L59" s="377">
        <v>1</v>
      </c>
      <c r="AE59">
        <v>13</v>
      </c>
      <c r="AF59" s="390">
        <v>6.9492577058641425E-2</v>
      </c>
      <c r="AG59" s="907">
        <v>5.5563135660222196E-2</v>
      </c>
      <c r="AH59" s="907">
        <v>4.2980495000000007E-2</v>
      </c>
      <c r="AI59" s="390">
        <v>3.4876177019912746E-2</v>
      </c>
      <c r="AL59" s="379" t="s">
        <v>4801</v>
      </c>
      <c r="AM59" s="73">
        <f t="shared" si="7"/>
        <v>11</v>
      </c>
      <c r="AN59" s="73">
        <f t="shared" ref="AN59:AP59" si="10">FLOOR(AN48, 1)</f>
        <v>12</v>
      </c>
      <c r="AO59" s="73">
        <f t="shared" si="10"/>
        <v>13</v>
      </c>
      <c r="AP59" s="380">
        <f t="shared" si="10"/>
        <v>15</v>
      </c>
    </row>
    <row r="60" spans="1:42" x14ac:dyDescent="0.25">
      <c r="A60" t="s">
        <v>1035</v>
      </c>
      <c r="B60" t="s">
        <v>95</v>
      </c>
      <c r="C60" t="s">
        <v>4364</v>
      </c>
      <c r="D60">
        <v>2024</v>
      </c>
      <c r="E60" t="s">
        <v>104</v>
      </c>
      <c r="F60" s="377">
        <f>'Background Data'!$BB$26</f>
        <v>16</v>
      </c>
      <c r="G60" s="52" t="s">
        <v>4362</v>
      </c>
      <c r="H60" s="377">
        <v>1</v>
      </c>
      <c r="I60" s="377">
        <v>1</v>
      </c>
      <c r="J60" s="377">
        <v>1</v>
      </c>
      <c r="K60" s="377">
        <v>3</v>
      </c>
      <c r="L60" s="377">
        <v>1</v>
      </c>
      <c r="AE60">
        <v>14</v>
      </c>
      <c r="AF60" s="390">
        <v>7.0787553566011963E-2</v>
      </c>
      <c r="AG60" s="390">
        <v>5.868565983300833E-2</v>
      </c>
      <c r="AH60" s="907">
        <v>4.7265193000000094E-2</v>
      </c>
      <c r="AI60" s="907">
        <v>3.6465245886922237E-2</v>
      </c>
      <c r="AL60" s="379" t="s">
        <v>4805</v>
      </c>
      <c r="AM60" s="73">
        <f t="shared" si="7"/>
        <v>14</v>
      </c>
      <c r="AN60" s="73">
        <f t="shared" ref="AN60:AP60" si="11">FLOOR(AN49, 1)</f>
        <v>15</v>
      </c>
      <c r="AO60" s="73">
        <f t="shared" si="11"/>
        <v>17</v>
      </c>
      <c r="AP60" s="380">
        <f t="shared" si="11"/>
        <v>20</v>
      </c>
    </row>
    <row r="61" spans="1:42" x14ac:dyDescent="0.25">
      <c r="A61" t="s">
        <v>1036</v>
      </c>
      <c r="B61" t="s">
        <v>95</v>
      </c>
      <c r="C61" t="s">
        <v>4364</v>
      </c>
      <c r="D61">
        <v>2024</v>
      </c>
      <c r="E61" t="s">
        <v>104</v>
      </c>
      <c r="F61" s="377">
        <f>'Background Data'!$BB$26</f>
        <v>16</v>
      </c>
      <c r="G61" s="52" t="s">
        <v>4362</v>
      </c>
      <c r="H61" s="377">
        <v>1</v>
      </c>
      <c r="I61" s="377">
        <v>1</v>
      </c>
      <c r="J61" s="377">
        <v>1</v>
      </c>
      <c r="K61" s="377">
        <v>3</v>
      </c>
      <c r="L61" s="377">
        <v>1</v>
      </c>
      <c r="AE61">
        <v>15</v>
      </c>
      <c r="AF61" s="390">
        <v>6.8436074445778705E-2</v>
      </c>
      <c r="AG61" s="390">
        <v>5.9479262832586755E-2</v>
      </c>
      <c r="AH61" s="907">
        <v>3.6264391999999979E-2</v>
      </c>
      <c r="AI61" s="907">
        <v>3.7796134284111549E-2</v>
      </c>
      <c r="AL61" s="379" t="s">
        <v>4802</v>
      </c>
      <c r="AM61" s="73">
        <f t="shared" si="7"/>
        <v>17</v>
      </c>
      <c r="AN61" s="73">
        <f t="shared" ref="AN61:AP61" si="12">FLOOR(AN50, 1)</f>
        <v>19</v>
      </c>
      <c r="AO61" s="73">
        <f t="shared" si="12"/>
        <v>21</v>
      </c>
      <c r="AP61" s="380">
        <f t="shared" si="12"/>
        <v>24</v>
      </c>
    </row>
    <row r="62" spans="1:42" x14ac:dyDescent="0.25">
      <c r="A62" t="s">
        <v>4392</v>
      </c>
      <c r="B62" t="s">
        <v>95</v>
      </c>
      <c r="C62" t="s">
        <v>4364</v>
      </c>
      <c r="D62">
        <v>2024</v>
      </c>
      <c r="E62" t="s">
        <v>104</v>
      </c>
      <c r="F62" s="377">
        <f>'Background Data'!$BB$26</f>
        <v>16</v>
      </c>
      <c r="G62" s="52" t="s">
        <v>4362</v>
      </c>
      <c r="H62" s="377">
        <v>1</v>
      </c>
      <c r="I62" s="377">
        <v>1</v>
      </c>
      <c r="J62" s="377">
        <v>1</v>
      </c>
      <c r="K62" s="377">
        <v>3</v>
      </c>
      <c r="L62" s="377">
        <v>1</v>
      </c>
      <c r="AE62">
        <v>16</v>
      </c>
      <c r="AF62" s="390">
        <v>6.2719335905052631E-2</v>
      </c>
      <c r="AG62" s="390">
        <v>5.7761033851759847E-2</v>
      </c>
      <c r="AH62" s="390">
        <v>5.2590132999999928E-2</v>
      </c>
      <c r="AI62" s="907">
        <v>3.8890168272414094E-2</v>
      </c>
      <c r="AL62" s="379" t="s">
        <v>4803</v>
      </c>
      <c r="AM62" s="73">
        <f t="shared" si="7"/>
        <v>20</v>
      </c>
      <c r="AN62" s="73">
        <f t="shared" ref="AN62:AP62" si="13">FLOOR(AN51, 1)</f>
        <v>24</v>
      </c>
      <c r="AO62" s="73">
        <f t="shared" si="13"/>
        <v>25</v>
      </c>
      <c r="AP62" s="380">
        <f t="shared" si="13"/>
        <v>27</v>
      </c>
    </row>
    <row r="63" spans="1:42" x14ac:dyDescent="0.25">
      <c r="A63" t="s">
        <v>1037</v>
      </c>
      <c r="B63" t="s">
        <v>95</v>
      </c>
      <c r="C63" t="s">
        <v>4364</v>
      </c>
      <c r="D63">
        <v>2024</v>
      </c>
      <c r="E63" t="s">
        <v>104</v>
      </c>
      <c r="F63" s="377">
        <f>'Background Data'!$BB$26</f>
        <v>16</v>
      </c>
      <c r="G63" s="52" t="s">
        <v>4362</v>
      </c>
      <c r="H63" s="377">
        <v>1</v>
      </c>
      <c r="I63" s="377">
        <v>1</v>
      </c>
      <c r="J63" s="377">
        <v>1</v>
      </c>
      <c r="K63" s="377">
        <v>3</v>
      </c>
      <c r="L63" s="377">
        <v>1</v>
      </c>
      <c r="AE63">
        <v>17</v>
      </c>
      <c r="AF63" s="907">
        <v>5.5118263923052024E-2</v>
      </c>
      <c r="AG63" s="390">
        <v>5.4300151137124164E-2</v>
      </c>
      <c r="AH63" s="390">
        <v>5.3805407000000027E-2</v>
      </c>
      <c r="AI63" s="390">
        <v>3.9768673912762953E-2</v>
      </c>
      <c r="AL63" s="379" t="s">
        <v>4804</v>
      </c>
      <c r="AM63" s="73">
        <f t="shared" si="7"/>
        <v>28</v>
      </c>
      <c r="AN63" s="73">
        <f t="shared" ref="AN63:AP63" si="14">FLOOR(AN52, 1)</f>
        <v>32</v>
      </c>
      <c r="AO63" s="73">
        <f t="shared" si="14"/>
        <v>32</v>
      </c>
      <c r="AP63" s="380">
        <f t="shared" si="14"/>
        <v>32</v>
      </c>
    </row>
    <row r="64" spans="1:42" ht="15.75" thickBot="1" x14ac:dyDescent="0.3">
      <c r="A64" t="s">
        <v>4397</v>
      </c>
      <c r="B64" t="s">
        <v>95</v>
      </c>
      <c r="C64" t="s">
        <v>4364</v>
      </c>
      <c r="D64">
        <v>2024</v>
      </c>
      <c r="E64" t="s">
        <v>104</v>
      </c>
      <c r="F64" s="377">
        <f>'Background Data'!$BB$26</f>
        <v>16</v>
      </c>
      <c r="G64" s="52" t="s">
        <v>4362</v>
      </c>
      <c r="H64" s="377">
        <v>1</v>
      </c>
      <c r="I64" s="377">
        <v>1</v>
      </c>
      <c r="J64" s="377">
        <v>1</v>
      </c>
      <c r="K64" s="377">
        <v>3</v>
      </c>
      <c r="L64" s="377">
        <v>1</v>
      </c>
      <c r="AE64">
        <v>18</v>
      </c>
      <c r="AF64" s="907">
        <v>4.7003306027178338E-2</v>
      </c>
      <c r="AG64" s="390">
        <v>4.9699727768544422E-2</v>
      </c>
      <c r="AH64" s="390">
        <v>5.7322736000000041E-2</v>
      </c>
      <c r="AI64" s="390">
        <v>4.045297726609165E-2</v>
      </c>
      <c r="AL64" s="1010" t="s">
        <v>4806</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4364</v>
      </c>
      <c r="D65">
        <v>2024</v>
      </c>
      <c r="E65" t="s">
        <v>104</v>
      </c>
      <c r="F65" s="377">
        <f>'Background Data'!$BB$26</f>
        <v>16</v>
      </c>
      <c r="G65" s="52" t="s">
        <v>4362</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4364</v>
      </c>
      <c r="D66">
        <v>2024</v>
      </c>
      <c r="E66" t="s">
        <v>104</v>
      </c>
      <c r="F66" s="377">
        <f>'Background Data'!$BB$26</f>
        <v>16</v>
      </c>
      <c r="G66" s="52" t="s">
        <v>4362</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4364</v>
      </c>
      <c r="D67">
        <v>2024</v>
      </c>
      <c r="E67" t="s">
        <v>104</v>
      </c>
      <c r="F67" s="377">
        <f>'Background Data'!$BB$26</f>
        <v>16</v>
      </c>
      <c r="G67" s="52" t="s">
        <v>4362</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4422</v>
      </c>
      <c r="B68" t="s">
        <v>95</v>
      </c>
      <c r="C68" t="s">
        <v>4364</v>
      </c>
      <c r="D68">
        <v>2024</v>
      </c>
      <c r="E68" t="s">
        <v>104</v>
      </c>
      <c r="F68" s="377">
        <f>'Background Data'!$BB$26</f>
        <v>16</v>
      </c>
      <c r="G68" s="52" t="s">
        <v>4362</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4364</v>
      </c>
      <c r="D69">
        <v>2024</v>
      </c>
      <c r="E69" t="s">
        <v>104</v>
      </c>
      <c r="F69" s="377">
        <f>'Background Data'!$BB$27</f>
        <v>18</v>
      </c>
      <c r="G69" s="52" t="s">
        <v>4363</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4364</v>
      </c>
      <c r="D70">
        <v>2024</v>
      </c>
      <c r="E70" t="s">
        <v>104</v>
      </c>
      <c r="F70" s="377">
        <f>'Background Data'!$BB$27</f>
        <v>18</v>
      </c>
      <c r="G70" s="52" t="s">
        <v>4363</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4364</v>
      </c>
      <c r="D71">
        <v>2024</v>
      </c>
      <c r="E71" t="s">
        <v>104</v>
      </c>
      <c r="F71" s="377">
        <f>'Background Data'!$BB$27</f>
        <v>18</v>
      </c>
      <c r="G71" s="52" t="s">
        <v>4363</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4364</v>
      </c>
      <c r="D72">
        <v>2024</v>
      </c>
      <c r="E72" t="s">
        <v>104</v>
      </c>
      <c r="F72" s="377">
        <f>'Background Data'!$BB$27</f>
        <v>18</v>
      </c>
      <c r="G72" s="52" t="s">
        <v>4363</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4364</v>
      </c>
      <c r="D73">
        <v>2024</v>
      </c>
      <c r="E73" t="s">
        <v>104</v>
      </c>
      <c r="F73" s="377">
        <f>'Background Data'!$BB$27</f>
        <v>18</v>
      </c>
      <c r="G73" s="52" t="s">
        <v>4363</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4364</v>
      </c>
      <c r="D74">
        <v>2024</v>
      </c>
      <c r="E74" t="s">
        <v>104</v>
      </c>
      <c r="F74" s="377">
        <f>'Background Data'!$BB$27</f>
        <v>18</v>
      </c>
      <c r="G74" s="52" t="s">
        <v>4363</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4364</v>
      </c>
      <c r="D75">
        <v>2024</v>
      </c>
      <c r="E75" t="s">
        <v>104</v>
      </c>
      <c r="F75" s="377">
        <f>'Background Data'!$BB$27</f>
        <v>18</v>
      </c>
      <c r="G75" s="52" t="s">
        <v>4363</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4301</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4301</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4301</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4301</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4768</v>
      </c>
      <c r="B118" t="s">
        <v>95</v>
      </c>
      <c r="C118" t="s">
        <v>1644</v>
      </c>
      <c r="D118">
        <v>2022</v>
      </c>
      <c r="E118" t="s">
        <v>104</v>
      </c>
      <c r="F118" s="377">
        <v>15</v>
      </c>
      <c r="G118" s="52" t="s">
        <v>1848</v>
      </c>
      <c r="H118" s="377">
        <v>3</v>
      </c>
      <c r="I118" s="377">
        <v>1</v>
      </c>
      <c r="J118" s="377">
        <v>1</v>
      </c>
      <c r="K118" s="377">
        <v>3</v>
      </c>
      <c r="L118" s="377">
        <v>1</v>
      </c>
    </row>
    <row r="119" spans="1:19" x14ac:dyDescent="0.25">
      <c r="A119" t="s">
        <v>4769</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4736</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2896</v>
      </c>
      <c r="D125">
        <v>2022</v>
      </c>
      <c r="E125" t="s">
        <v>104</v>
      </c>
      <c r="F125" s="377">
        <v>15</v>
      </c>
      <c r="G125" s="52" t="s">
        <v>1848</v>
      </c>
      <c r="H125" s="377">
        <v>3</v>
      </c>
      <c r="I125" s="377">
        <v>1</v>
      </c>
      <c r="J125" s="377">
        <v>1</v>
      </c>
      <c r="K125" s="377">
        <v>3</v>
      </c>
      <c r="L125" s="377">
        <v>1</v>
      </c>
      <c r="Q125">
        <v>0.34672795831672298</v>
      </c>
    </row>
    <row r="126" spans="1:19" x14ac:dyDescent="0.25">
      <c r="A126" t="s">
        <v>2882</v>
      </c>
      <c r="B126" t="s">
        <v>95</v>
      </c>
      <c r="C126" t="s">
        <v>2896</v>
      </c>
      <c r="D126">
        <v>2022</v>
      </c>
      <c r="E126" t="s">
        <v>104</v>
      </c>
      <c r="F126" s="377">
        <v>15</v>
      </c>
      <c r="G126" s="52" t="s">
        <v>1848</v>
      </c>
      <c r="H126" s="377">
        <v>3</v>
      </c>
      <c r="I126" s="377">
        <v>1</v>
      </c>
      <c r="J126" s="377">
        <v>1</v>
      </c>
      <c r="K126" s="377">
        <v>3</v>
      </c>
      <c r="L126" s="377">
        <v>1</v>
      </c>
      <c r="Q126">
        <v>0.30349143234689302</v>
      </c>
    </row>
    <row r="127" spans="1:19" x14ac:dyDescent="0.25">
      <c r="A127" t="s">
        <v>2886</v>
      </c>
      <c r="B127" t="s">
        <v>95</v>
      </c>
      <c r="C127" t="s">
        <v>2896</v>
      </c>
      <c r="D127">
        <v>2022</v>
      </c>
      <c r="E127" t="s">
        <v>104</v>
      </c>
      <c r="F127" s="377">
        <v>25</v>
      </c>
      <c r="G127" s="52" t="s">
        <v>1848</v>
      </c>
      <c r="H127" s="377">
        <v>3</v>
      </c>
      <c r="I127" s="377">
        <v>1</v>
      </c>
      <c r="J127" s="377">
        <v>1</v>
      </c>
      <c r="K127" s="377">
        <v>3</v>
      </c>
      <c r="L127" s="377">
        <v>1</v>
      </c>
      <c r="Q127">
        <v>0.27159668597954101</v>
      </c>
    </row>
    <row r="128" spans="1:19" x14ac:dyDescent="0.25">
      <c r="A128" t="s">
        <v>4689</v>
      </c>
      <c r="B128" t="s">
        <v>95</v>
      </c>
      <c r="C128" t="s">
        <v>2896</v>
      </c>
      <c r="D128">
        <v>2022</v>
      </c>
      <c r="E128" t="s">
        <v>104</v>
      </c>
      <c r="F128" s="377">
        <v>20</v>
      </c>
      <c r="G128" s="52" t="s">
        <v>4735</v>
      </c>
      <c r="H128" s="377">
        <v>3</v>
      </c>
      <c r="I128" s="377">
        <v>1</v>
      </c>
      <c r="J128" s="377">
        <v>1</v>
      </c>
      <c r="K128" s="377">
        <v>3</v>
      </c>
      <c r="L128" s="377">
        <v>1</v>
      </c>
      <c r="Q128">
        <v>0.314801710082316</v>
      </c>
    </row>
    <row r="129" spans="1:19" x14ac:dyDescent="0.25">
      <c r="A129" t="s">
        <v>4690</v>
      </c>
      <c r="B129" t="s">
        <v>95</v>
      </c>
      <c r="C129" t="s">
        <v>2896</v>
      </c>
      <c r="D129">
        <v>2022</v>
      </c>
      <c r="E129" t="s">
        <v>104</v>
      </c>
      <c r="F129" s="377">
        <v>20</v>
      </c>
      <c r="G129" s="52" t="s">
        <v>4735</v>
      </c>
      <c r="H129" s="377">
        <v>3</v>
      </c>
      <c r="I129" s="377">
        <v>1</v>
      </c>
      <c r="J129" s="377">
        <v>1</v>
      </c>
      <c r="K129" s="377">
        <v>3</v>
      </c>
      <c r="L129" s="377">
        <v>1</v>
      </c>
      <c r="Q129">
        <v>0.140015220709855</v>
      </c>
    </row>
    <row r="130" spans="1:19" x14ac:dyDescent="0.25">
      <c r="A130" t="s">
        <v>2884</v>
      </c>
      <c r="B130" t="s">
        <v>95</v>
      </c>
      <c r="C130" t="s">
        <v>4634</v>
      </c>
      <c r="D130">
        <v>2024</v>
      </c>
      <c r="E130" t="s">
        <v>104</v>
      </c>
      <c r="F130" s="377">
        <v>25</v>
      </c>
      <c r="G130" s="52" t="s">
        <v>4637</v>
      </c>
      <c r="H130" s="377">
        <v>2</v>
      </c>
      <c r="I130" s="377">
        <v>1</v>
      </c>
      <c r="J130" s="377">
        <v>1</v>
      </c>
      <c r="K130" s="377">
        <v>3</v>
      </c>
      <c r="L130" s="377">
        <v>1</v>
      </c>
      <c r="Q130">
        <v>0.239407547909257</v>
      </c>
    </row>
    <row r="131" spans="1:19" x14ac:dyDescent="0.25">
      <c r="A131" t="s">
        <v>4693</v>
      </c>
      <c r="B131" t="s">
        <v>95</v>
      </c>
      <c r="C131" t="s">
        <v>4634</v>
      </c>
      <c r="D131">
        <v>2024</v>
      </c>
      <c r="E131" t="s">
        <v>104</v>
      </c>
      <c r="F131" s="377">
        <v>25</v>
      </c>
      <c r="G131" s="52" t="s">
        <v>4637</v>
      </c>
      <c r="H131" s="377">
        <v>2</v>
      </c>
      <c r="I131" s="377">
        <v>1</v>
      </c>
      <c r="J131" s="377">
        <v>1</v>
      </c>
      <c r="K131" s="377">
        <v>3</v>
      </c>
      <c r="L131" s="377">
        <v>1</v>
      </c>
      <c r="Q131">
        <v>0.24326886096041</v>
      </c>
    </row>
    <row r="132" spans="1:19" x14ac:dyDescent="0.25">
      <c r="A132" t="s">
        <v>2902</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4737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Normal="100" workbookViewId="0">
      <pane xSplit="1" ySplit="2" topLeftCell="AT65" activePane="bottomRight" state="frozen"/>
      <selection pane="topRight" activeCell="B1" sqref="B1"/>
      <selection pane="bottomLeft" activeCell="A3" sqref="A3"/>
      <selection pane="bottomRight" activeCell="BG5" sqref="BG5"/>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4259</v>
      </c>
      <c r="B1" s="1"/>
      <c r="C1" s="1"/>
      <c r="D1" s="1"/>
      <c r="E1" s="1"/>
      <c r="F1" s="1"/>
      <c r="G1" s="109"/>
      <c r="H1" s="1058" t="s">
        <v>1002</v>
      </c>
      <c r="I1" s="1058"/>
      <c r="J1" s="1058"/>
      <c r="K1" s="1058"/>
      <c r="L1" s="1058"/>
      <c r="M1" s="1058"/>
      <c r="N1" s="1058"/>
      <c r="O1" s="1058"/>
      <c r="P1" s="1058"/>
      <c r="Q1" s="1058"/>
      <c r="R1" s="1058"/>
      <c r="S1" s="1058"/>
      <c r="T1" s="1058"/>
      <c r="U1" s="1058"/>
      <c r="V1" s="1058"/>
      <c r="W1" s="1058"/>
      <c r="X1" s="1058"/>
      <c r="Y1" s="1058"/>
      <c r="Z1" s="1058"/>
      <c r="AA1" s="1058"/>
      <c r="AB1" s="1058"/>
      <c r="AC1" s="1057" t="s">
        <v>1003</v>
      </c>
      <c r="AD1" s="1058"/>
      <c r="AE1" s="1058"/>
      <c r="AF1" s="1058"/>
      <c r="AG1" s="1058"/>
      <c r="AH1" s="1058"/>
      <c r="AI1" s="1059"/>
      <c r="AJ1" s="1041" t="s">
        <v>4469</v>
      </c>
      <c r="AK1" s="53"/>
      <c r="AL1" s="1038" t="s">
        <v>147</v>
      </c>
      <c r="AM1" s="1038"/>
      <c r="AN1" s="1038"/>
      <c r="AO1" s="1038"/>
      <c r="AP1" s="1038"/>
      <c r="AQ1" s="1043" t="s">
        <v>2640</v>
      </c>
      <c r="AS1" s="1043" t="s">
        <v>2641</v>
      </c>
      <c r="AT1" s="1092" t="s">
        <v>2135</v>
      </c>
      <c r="AU1" s="1093"/>
      <c r="AV1" s="1093"/>
      <c r="AW1" s="1093"/>
      <c r="AX1" s="1093"/>
      <c r="AY1" s="1094"/>
      <c r="EC1" s="1092" t="s">
        <v>2140</v>
      </c>
      <c r="ED1" s="1093"/>
      <c r="EE1" s="1093"/>
      <c r="EF1" s="1093"/>
      <c r="EG1" s="1093"/>
      <c r="EH1" s="1093"/>
      <c r="EI1" s="1093"/>
      <c r="EJ1" s="1093"/>
      <c r="EK1" s="1093"/>
      <c r="EL1" s="1093"/>
      <c r="EM1" s="1093"/>
      <c r="EN1" s="1093"/>
      <c r="EO1" s="1093"/>
      <c r="EP1" s="1093"/>
      <c r="EQ1" s="1093"/>
      <c r="ER1" s="1093"/>
      <c r="ES1" s="1093"/>
      <c r="ET1" s="1093"/>
      <c r="EU1" s="1094"/>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42"/>
      <c r="AK2" s="733" t="s">
        <v>91</v>
      </c>
      <c r="AL2" s="722" t="s">
        <v>148</v>
      </c>
      <c r="AM2" s="722" t="s">
        <v>152</v>
      </c>
      <c r="AN2" s="722" t="s">
        <v>149</v>
      </c>
      <c r="AO2" s="722" t="s">
        <v>150</v>
      </c>
      <c r="AP2" s="722" t="s">
        <v>151</v>
      </c>
      <c r="AQ2" s="1043"/>
      <c r="AR2" s="735"/>
      <c r="AS2" s="1043"/>
      <c r="AT2" s="1076" t="s">
        <v>1946</v>
      </c>
      <c r="AU2" s="1077"/>
      <c r="AV2" s="1077"/>
      <c r="AW2" s="1077"/>
      <c r="AX2" s="1077"/>
      <c r="AY2" s="1078"/>
      <c r="BA2" s="1073" t="s">
        <v>3048</v>
      </c>
      <c r="BB2" s="1073"/>
      <c r="BC2" s="1073"/>
      <c r="BD2" s="1073"/>
      <c r="BE2" s="1073"/>
      <c r="BF2" s="1073"/>
      <c r="BG2" s="1073"/>
      <c r="BH2" s="1073"/>
      <c r="BI2" s="1073"/>
      <c r="BJ2" s="736"/>
      <c r="BL2" s="1073" t="s">
        <v>1925</v>
      </c>
      <c r="BM2" s="1073"/>
      <c r="BN2" s="1073"/>
      <c r="BO2" s="1073"/>
      <c r="BP2" s="1073"/>
      <c r="BQ2" s="1073"/>
      <c r="BR2" s="1073"/>
      <c r="BS2" s="1073"/>
      <c r="BT2" s="1073"/>
      <c r="BU2" s="736"/>
      <c r="BY2" s="736"/>
      <c r="BZ2" s="736"/>
      <c r="CA2" s="736"/>
      <c r="CB2" s="736"/>
      <c r="CC2" s="736"/>
      <c r="CD2" s="736"/>
      <c r="CE2" s="736"/>
      <c r="CF2" s="736"/>
      <c r="CG2" s="1073" t="s">
        <v>3050</v>
      </c>
      <c r="CH2" s="1073"/>
      <c r="CI2" s="1073"/>
      <c r="CJ2" s="1073"/>
      <c r="CK2" s="1073"/>
      <c r="CL2" s="1073"/>
      <c r="CM2" s="1073"/>
      <c r="CN2" s="1073"/>
      <c r="CO2" s="736"/>
      <c r="CP2" s="736"/>
      <c r="CQ2" s="1073" t="s">
        <v>1929</v>
      </c>
      <c r="CR2" s="1073"/>
      <c r="CS2" s="1073"/>
      <c r="CT2" s="1073"/>
      <c r="CU2" s="1073"/>
      <c r="CV2" s="1073"/>
      <c r="CW2" s="1073"/>
      <c r="CX2" s="1073"/>
      <c r="DA2" s="1073" t="s">
        <v>1925</v>
      </c>
      <c r="DB2" s="1073"/>
      <c r="DC2" s="1073"/>
      <c r="DD2" s="1073"/>
      <c r="DE2" s="1073"/>
      <c r="DF2" s="1073"/>
      <c r="DG2" s="1073"/>
      <c r="DH2" s="1073"/>
      <c r="DJ2" s="1073" t="s">
        <v>948</v>
      </c>
      <c r="DK2" s="1073"/>
      <c r="DL2" s="1073"/>
      <c r="DM2" s="1073"/>
      <c r="DN2" s="1073"/>
      <c r="DO2" s="1073"/>
      <c r="DP2" s="1073"/>
      <c r="DQ2" s="1073"/>
      <c r="DR2" s="736"/>
      <c r="EC2" s="1110" t="s">
        <v>1025</v>
      </c>
      <c r="ED2" s="1073"/>
      <c r="EE2" s="1073"/>
      <c r="EF2" s="1073"/>
      <c r="EG2" s="1073"/>
      <c r="EH2" s="1073"/>
      <c r="EI2" s="1073"/>
      <c r="EJ2" s="1073"/>
      <c r="EM2" s="1073" t="s">
        <v>1046</v>
      </c>
      <c r="EN2" s="1073"/>
      <c r="EO2" s="1073"/>
      <c r="EP2" s="1073"/>
      <c r="EQ2" s="1073"/>
      <c r="ER2" s="1073"/>
      <c r="ES2" s="1073"/>
      <c r="ET2" s="1073"/>
      <c r="EU2" s="737"/>
    </row>
    <row r="3" spans="1:151" ht="16.5" thickTop="1" thickBot="1" x14ac:dyDescent="0.3">
      <c r="A3" t="s">
        <v>4432</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43"/>
      <c r="AS3" s="1043"/>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3049</v>
      </c>
      <c r="BL3" s="88" t="s">
        <v>246</v>
      </c>
      <c r="BM3" s="112">
        <v>2020</v>
      </c>
      <c r="BN3" s="88">
        <v>2023</v>
      </c>
      <c r="BO3" s="88">
        <v>2025</v>
      </c>
      <c r="BP3" s="88">
        <v>2030</v>
      </c>
      <c r="BQ3" s="88">
        <v>2035</v>
      </c>
      <c r="BR3" s="83" t="s">
        <v>922</v>
      </c>
      <c r="BS3" s="83" t="s">
        <v>923</v>
      </c>
      <c r="BT3" s="88">
        <v>2050</v>
      </c>
      <c r="BU3" s="28" t="s">
        <v>3049</v>
      </c>
      <c r="CG3" s="88" t="s">
        <v>246</v>
      </c>
      <c r="CH3" s="88">
        <v>2023</v>
      </c>
      <c r="CI3" s="88">
        <v>2025</v>
      </c>
      <c r="CJ3" s="88">
        <v>2030</v>
      </c>
      <c r="CK3" s="88">
        <v>2035</v>
      </c>
      <c r="CL3" s="83" t="s">
        <v>922</v>
      </c>
      <c r="CM3" s="83" t="s">
        <v>923</v>
      </c>
      <c r="CN3" s="88">
        <v>2050</v>
      </c>
      <c r="CO3" s="28" t="s">
        <v>3049</v>
      </c>
      <c r="CQ3" s="88" t="s">
        <v>246</v>
      </c>
      <c r="CR3" s="88">
        <v>2023</v>
      </c>
      <c r="CS3" s="88">
        <v>2025</v>
      </c>
      <c r="CT3" s="88">
        <v>2030</v>
      </c>
      <c r="CU3" s="88">
        <v>2035</v>
      </c>
      <c r="CV3" s="83" t="s">
        <v>922</v>
      </c>
      <c r="CW3" s="83" t="s">
        <v>923</v>
      </c>
      <c r="CX3" s="88">
        <v>2050</v>
      </c>
      <c r="CY3" s="28" t="s">
        <v>3049</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4433</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43"/>
      <c r="AS4" s="1043"/>
      <c r="AT4" s="379" t="s">
        <v>17</v>
      </c>
      <c r="AU4" s="73"/>
      <c r="AV4" s="73"/>
      <c r="AW4" s="73"/>
      <c r="AX4" s="73"/>
      <c r="AY4" s="380"/>
      <c r="BA4" s="28" t="s">
        <v>3029</v>
      </c>
      <c r="BB4" s="799"/>
      <c r="BL4" s="28" t="s">
        <v>17</v>
      </c>
      <c r="BM4" s="799"/>
      <c r="CG4" s="28" t="s">
        <v>3992</v>
      </c>
      <c r="CQ4" s="28" t="s">
        <v>4006</v>
      </c>
      <c r="DA4" s="28" t="s">
        <v>4006</v>
      </c>
      <c r="DJ4" s="28" t="s">
        <v>260</v>
      </c>
      <c r="EC4" s="379" t="s">
        <v>1026</v>
      </c>
      <c r="EM4" s="249" t="s">
        <v>1048</v>
      </c>
      <c r="EU4" s="63"/>
    </row>
    <row r="5" spans="1:151" x14ac:dyDescent="0.25">
      <c r="A5" t="s">
        <v>4434</v>
      </c>
      <c r="B5" t="s">
        <v>4772</v>
      </c>
      <c r="C5" t="s">
        <v>4761</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43"/>
      <c r="AS5" s="1043"/>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4435</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43"/>
      <c r="AS6" s="1043"/>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3979</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4007</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4007</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4436</v>
      </c>
      <c r="B7" t="s">
        <v>4490</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3052</v>
      </c>
      <c r="AL7" s="377">
        <v>2</v>
      </c>
      <c r="AM7" s="377">
        <v>1</v>
      </c>
      <c r="AN7" s="377">
        <v>1</v>
      </c>
      <c r="AO7" s="377">
        <v>2</v>
      </c>
      <c r="AP7" s="377">
        <v>1</v>
      </c>
      <c r="AQ7" s="1043"/>
      <c r="AS7" s="1043"/>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4437</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43"/>
      <c r="AS8" s="1043"/>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3001</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3001</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4438</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43"/>
      <c r="AS9" s="1043"/>
      <c r="AT9" s="381" t="s">
        <v>3044</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4423</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4423</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4439</v>
      </c>
      <c r="B10" t="s">
        <v>4772</v>
      </c>
      <c r="C10" t="s">
        <v>4762</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43"/>
      <c r="AS10" s="1043"/>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4424</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4424</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4440</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43"/>
      <c r="AS11" s="1043"/>
      <c r="AT11" s="381" t="s">
        <v>3036</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2997</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3039</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4441</v>
      </c>
      <c r="B12" t="s">
        <v>4490</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3052</v>
      </c>
      <c r="AL12" s="377">
        <v>2</v>
      </c>
      <c r="AM12" s="377">
        <v>1</v>
      </c>
      <c r="AN12" s="377">
        <v>1</v>
      </c>
      <c r="AO12" s="377">
        <v>2</v>
      </c>
      <c r="AP12" s="377">
        <v>1</v>
      </c>
      <c r="AQ12" s="1043"/>
      <c r="AS12" s="1043"/>
      <c r="AT12" s="381" t="s">
        <v>3037</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3040</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3993</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4442</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43"/>
      <c r="AS13" s="1043"/>
      <c r="AT13" s="381" t="s">
        <v>3038</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3041</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4443</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43"/>
      <c r="AS14" s="1043"/>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3042</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3979</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4444</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43"/>
      <c r="AS15" s="1043"/>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4445</v>
      </c>
      <c r="B16" t="s">
        <v>4490</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3052</v>
      </c>
      <c r="AL16" s="377">
        <v>2</v>
      </c>
      <c r="AM16" s="377">
        <v>1</v>
      </c>
      <c r="AN16" s="377">
        <v>1</v>
      </c>
      <c r="AO16" s="377">
        <v>2</v>
      </c>
      <c r="AP16" s="377">
        <v>1</v>
      </c>
      <c r="AQ16" s="1043"/>
      <c r="AS16" s="1043"/>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4446</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43"/>
      <c r="AS17" s="1043"/>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3030</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4447</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43"/>
      <c r="AS18" s="1043"/>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4448</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43"/>
      <c r="AS19" s="1043"/>
      <c r="AT19" s="381" t="s">
        <v>3044</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4449</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43"/>
      <c r="AS20" s="1043"/>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3994</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4450</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4024</v>
      </c>
      <c r="AL21" s="377">
        <v>2</v>
      </c>
      <c r="AM21" s="377">
        <v>1</v>
      </c>
      <c r="AN21" s="377">
        <v>1</v>
      </c>
      <c r="AO21" s="377">
        <v>1</v>
      </c>
      <c r="AP21" s="377">
        <v>2</v>
      </c>
      <c r="AQ21" s="1043"/>
      <c r="AS21" s="1043"/>
      <c r="AT21" s="381" t="s">
        <v>3036</v>
      </c>
      <c r="AU21" s="73"/>
      <c r="AV21" s="73"/>
      <c r="AW21" s="73"/>
      <c r="AX21" s="73"/>
      <c r="AY21" s="380"/>
      <c r="BA21" s="17" t="s">
        <v>3001</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3001</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4451</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43"/>
      <c r="AS22" s="1043"/>
      <c r="AT22" s="381" t="s">
        <v>3037</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4423</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4423</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3979</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4452</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4025</v>
      </c>
      <c r="AL23" s="377">
        <v>2</v>
      </c>
      <c r="AM23" s="377">
        <v>1</v>
      </c>
      <c r="AN23" s="377">
        <v>1</v>
      </c>
      <c r="AO23" s="377">
        <v>1</v>
      </c>
      <c r="AP23" s="377">
        <v>2</v>
      </c>
      <c r="AQ23" s="1043"/>
      <c r="AS23" s="1043"/>
      <c r="AT23" s="381" t="s">
        <v>3038</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4424</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4424</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4453</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4024</v>
      </c>
      <c r="AL24" s="377">
        <v>2</v>
      </c>
      <c r="AM24" s="377">
        <v>1</v>
      </c>
      <c r="AN24" s="377">
        <v>1</v>
      </c>
      <c r="AO24" s="377">
        <v>1</v>
      </c>
      <c r="AP24" s="377">
        <v>2</v>
      </c>
      <c r="AQ24" s="1043"/>
      <c r="AS24" s="1043"/>
      <c r="AT24" s="1104" t="s">
        <v>3051</v>
      </c>
      <c r="AU24" s="1105"/>
      <c r="AV24" s="1105"/>
      <c r="AW24" s="1105"/>
      <c r="AX24" s="1105"/>
      <c r="AY24" s="1106"/>
      <c r="AZ24" s="561">
        <f>150*km_mile</f>
        <v>241.40100000000001</v>
      </c>
      <c r="BA24" s="17" t="s">
        <v>2997</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3039</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4454</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43"/>
      <c r="AS25" s="1043"/>
      <c r="AT25" s="1107"/>
      <c r="AU25" s="1108"/>
      <c r="AV25" s="1108"/>
      <c r="AW25" s="1108"/>
      <c r="AX25" s="1108"/>
      <c r="AY25" s="1109"/>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3040</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4455</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4025</v>
      </c>
      <c r="AL26" s="377">
        <v>2</v>
      </c>
      <c r="AM26" s="377">
        <v>1</v>
      </c>
      <c r="AN26" s="377">
        <v>1</v>
      </c>
      <c r="AO26" s="377">
        <v>1</v>
      </c>
      <c r="AP26" s="377">
        <v>2</v>
      </c>
      <c r="AQ26" s="1043"/>
      <c r="AS26" s="1043"/>
      <c r="AT26" s="1098" t="s">
        <v>1947</v>
      </c>
      <c r="AU26" s="1099"/>
      <c r="AV26" s="1099"/>
      <c r="AW26" s="1099"/>
      <c r="AX26" s="1099"/>
      <c r="AY26" s="1100"/>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3041</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4456</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4026</v>
      </c>
      <c r="AL27" s="377">
        <v>2</v>
      </c>
      <c r="AM27" s="377">
        <v>1</v>
      </c>
      <c r="AN27" s="377">
        <v>1</v>
      </c>
      <c r="AO27" s="377">
        <v>1</v>
      </c>
      <c r="AP27" s="377">
        <v>2</v>
      </c>
      <c r="AQ27" s="1043"/>
      <c r="AS27" s="1043"/>
      <c r="AT27" s="1101"/>
      <c r="AU27" s="1102"/>
      <c r="AV27" s="1102"/>
      <c r="AW27" s="1102"/>
      <c r="AX27" s="1102"/>
      <c r="AY27" s="1103"/>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3042</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4457</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4024</v>
      </c>
      <c r="AL28" s="377">
        <v>2</v>
      </c>
      <c r="AM28" s="377">
        <v>1</v>
      </c>
      <c r="AN28" s="377">
        <v>1</v>
      </c>
      <c r="AO28" s="377">
        <v>1</v>
      </c>
      <c r="AP28" s="377">
        <v>2</v>
      </c>
      <c r="AQ28" s="1043"/>
      <c r="AS28" s="1043"/>
      <c r="AT28" s="1104" t="s">
        <v>2133</v>
      </c>
      <c r="AU28" s="1105"/>
      <c r="AV28" s="1105"/>
      <c r="AW28" s="1105"/>
      <c r="AX28" s="1105"/>
      <c r="AY28" s="1106"/>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3995</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4458</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43"/>
      <c r="AS29" s="1043"/>
      <c r="AT29" s="1107"/>
      <c r="AU29" s="1108"/>
      <c r="AV29" s="1108"/>
      <c r="AW29" s="1108"/>
      <c r="AX29" s="1108"/>
      <c r="AY29" s="1109"/>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4459</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4389</v>
      </c>
      <c r="AL30" s="377">
        <v>2</v>
      </c>
      <c r="AM30" s="377">
        <v>1</v>
      </c>
      <c r="AN30" s="377">
        <v>1</v>
      </c>
      <c r="AO30" s="377">
        <v>2</v>
      </c>
      <c r="AP30" s="377">
        <v>1</v>
      </c>
      <c r="AQ30" s="1043"/>
      <c r="AS30" s="1043"/>
      <c r="AT30" s="385"/>
      <c r="AU30" s="70"/>
      <c r="AV30" s="70"/>
      <c r="AW30" s="70"/>
      <c r="AX30" s="70"/>
      <c r="AY30" s="295"/>
      <c r="BA30" s="28" t="s">
        <v>3031</v>
      </c>
      <c r="BB30" s="799"/>
      <c r="BC30" s="60"/>
      <c r="BD30" s="60"/>
      <c r="BE30" s="60"/>
      <c r="BF30" s="60"/>
      <c r="BG30" s="60"/>
      <c r="BH30" s="60"/>
      <c r="BI30" s="60"/>
      <c r="BM30" s="354"/>
      <c r="BN30" s="13"/>
      <c r="BO30" s="13"/>
      <c r="BW30" s="1092" t="s">
        <v>2138</v>
      </c>
      <c r="BX30" s="1093"/>
      <c r="BY30" s="1093"/>
      <c r="BZ30" s="1093"/>
      <c r="CA30" s="1093"/>
      <c r="CB30" s="1093"/>
      <c r="CC30" s="1093"/>
      <c r="CD30" s="1094"/>
      <c r="CE30" s="809"/>
      <c r="CF30">
        <v>5</v>
      </c>
      <c r="CG30" s="17" t="s">
        <v>3979</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4460</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4389</v>
      </c>
      <c r="AL31" s="377">
        <v>2</v>
      </c>
      <c r="AM31" s="377">
        <v>1</v>
      </c>
      <c r="AN31" s="377">
        <v>1</v>
      </c>
      <c r="AO31" s="377">
        <v>2</v>
      </c>
      <c r="AP31" s="377">
        <v>1</v>
      </c>
      <c r="AQ31" s="1043"/>
      <c r="AS31" s="1043"/>
      <c r="AT31" s="1095" t="s">
        <v>941</v>
      </c>
      <c r="AU31" s="1036"/>
      <c r="AV31" s="1036"/>
      <c r="AW31" s="1036"/>
      <c r="AX31" s="1036"/>
      <c r="AY31" s="1096"/>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3034</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4487</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4389</v>
      </c>
      <c r="AL32" s="377">
        <v>2</v>
      </c>
      <c r="AM32" s="377">
        <v>1</v>
      </c>
      <c r="AN32" s="377">
        <v>1</v>
      </c>
      <c r="AO32" s="377">
        <v>2</v>
      </c>
      <c r="AP32" s="377">
        <v>1</v>
      </c>
      <c r="AQ32" s="1043"/>
      <c r="AS32" s="1043"/>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3049</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4488</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4389</v>
      </c>
      <c r="AL33" s="377">
        <v>2</v>
      </c>
      <c r="AM33" s="377">
        <v>1</v>
      </c>
      <c r="AN33" s="377">
        <v>1</v>
      </c>
      <c r="AO33" s="377">
        <v>2</v>
      </c>
      <c r="AP33" s="377">
        <v>1</v>
      </c>
      <c r="AQ33" s="1043"/>
      <c r="AS33" s="1043"/>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86" t="s">
        <v>4030</v>
      </c>
      <c r="CR33" s="1086"/>
      <c r="CS33" s="1086"/>
      <c r="CT33" s="1086"/>
      <c r="CU33" s="1086"/>
      <c r="CV33" s="1086"/>
      <c r="CW33" s="1086"/>
      <c r="CX33" s="1086"/>
      <c r="CY33" s="1086"/>
      <c r="DJ33" s="1097" t="s">
        <v>959</v>
      </c>
      <c r="DK33" s="1097"/>
      <c r="DL33" s="159"/>
      <c r="DM33" s="1097" t="s">
        <v>1165</v>
      </c>
      <c r="DN33" s="1097"/>
      <c r="DO33" s="159"/>
      <c r="DP33" s="1097" t="s">
        <v>1166</v>
      </c>
      <c r="DQ33" s="1097"/>
      <c r="DR33" s="1097"/>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4461</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4027</v>
      </c>
      <c r="AL34" s="377">
        <v>2</v>
      </c>
      <c r="AM34" s="377">
        <v>1</v>
      </c>
      <c r="AN34" s="377">
        <v>2</v>
      </c>
      <c r="AO34" s="377">
        <v>1</v>
      </c>
      <c r="AP34" s="377">
        <v>2</v>
      </c>
      <c r="AQ34" s="1043"/>
      <c r="AS34" s="1043"/>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3001</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2" t="s">
        <v>2141</v>
      </c>
      <c r="DB34" s="1093"/>
      <c r="DC34" s="1093"/>
      <c r="DD34" s="1093"/>
      <c r="DE34" s="1093"/>
      <c r="DF34" s="1093"/>
      <c r="DG34" s="1093"/>
      <c r="DH34" s="1094"/>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4462</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43"/>
      <c r="AS35" s="1043"/>
      <c r="AT35" s="381" t="s">
        <v>107</v>
      </c>
      <c r="AU35" s="297">
        <f t="shared" ref="AU35:AW37" si="100">1/(AU6*GSL_PJ_ML*10)</f>
        <v>0.38639831040120187</v>
      </c>
      <c r="AV35" s="297">
        <f t="shared" si="100"/>
        <v>0.38385622328290131</v>
      </c>
      <c r="AW35" s="297">
        <f t="shared" si="100"/>
        <v>0.44433535506921357</v>
      </c>
      <c r="AX35" s="73"/>
      <c r="AY35" s="380"/>
      <c r="BA35" s="17" t="s">
        <v>4423</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95" t="s">
        <v>4014</v>
      </c>
      <c r="DB35" s="1036"/>
      <c r="DC35" s="1036"/>
      <c r="DD35" s="1036"/>
      <c r="DE35" s="1036"/>
      <c r="DF35" s="1036"/>
      <c r="DG35" s="1036"/>
      <c r="DH35" s="1096"/>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4050</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4065</v>
      </c>
      <c r="AL36" s="377">
        <v>3</v>
      </c>
      <c r="AM36" s="377">
        <v>1</v>
      </c>
      <c r="AN36" s="377">
        <v>1</v>
      </c>
      <c r="AO36" s="377">
        <v>3</v>
      </c>
      <c r="AP36" s="377">
        <v>1</v>
      </c>
      <c r="AQ36" s="1043"/>
      <c r="AS36" s="1043"/>
      <c r="AT36" s="381" t="s">
        <v>240</v>
      </c>
      <c r="AU36" s="297">
        <f t="shared" si="100"/>
        <v>0.1984434223728018</v>
      </c>
      <c r="AV36" s="297">
        <f t="shared" si="100"/>
        <v>0.22073616606467941</v>
      </c>
      <c r="AW36" s="297">
        <f t="shared" si="100"/>
        <v>0.19845154790886324</v>
      </c>
      <c r="AX36" s="297">
        <f>1/(AX7*GSL_PJ_ML*10)</f>
        <v>0.20265367532520429</v>
      </c>
      <c r="AY36" s="380"/>
      <c r="BA36" s="17" t="s">
        <v>4424</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3996</v>
      </c>
      <c r="CO36" s="85"/>
      <c r="CP36" s="80"/>
      <c r="CQ36" s="88" t="s">
        <v>246</v>
      </c>
      <c r="CR36" s="88">
        <v>2023</v>
      </c>
      <c r="CS36" s="88">
        <v>2025</v>
      </c>
      <c r="CT36" s="88">
        <v>2030</v>
      </c>
      <c r="CU36" s="88">
        <v>2035</v>
      </c>
      <c r="CV36" s="83" t="s">
        <v>922</v>
      </c>
      <c r="CW36" s="83" t="s">
        <v>923</v>
      </c>
      <c r="CX36" s="88">
        <v>2050</v>
      </c>
      <c r="CY36" s="28" t="s">
        <v>3049</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4050</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4065</v>
      </c>
      <c r="AL37" s="377">
        <v>3</v>
      </c>
      <c r="AM37" s="377">
        <v>1</v>
      </c>
      <c r="AN37" s="377">
        <v>1</v>
      </c>
      <c r="AO37" s="377">
        <v>3</v>
      </c>
      <c r="AP37" s="377">
        <v>1</v>
      </c>
      <c r="AQ37" s="1043"/>
      <c r="AS37" s="1043"/>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2997</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3001</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3001</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4006</v>
      </c>
      <c r="DA37" s="379" t="s">
        <v>4006</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4050</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4065</v>
      </c>
      <c r="AL38" s="377">
        <v>3</v>
      </c>
      <c r="AM38" s="377">
        <v>1</v>
      </c>
      <c r="AN38" s="377">
        <v>1</v>
      </c>
      <c r="AO38" s="377">
        <v>3</v>
      </c>
      <c r="AP38" s="377">
        <v>1</v>
      </c>
      <c r="AQ38" s="1043"/>
      <c r="AS38" s="1043"/>
      <c r="AT38" s="381" t="s">
        <v>4463</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4423</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4423</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3979</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4050</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4065</v>
      </c>
      <c r="AL39" s="377">
        <v>3</v>
      </c>
      <c r="AM39" s="377">
        <v>1</v>
      </c>
      <c r="AN39" s="377">
        <v>1</v>
      </c>
      <c r="AO39" s="377">
        <v>3</v>
      </c>
      <c r="AP39" s="377">
        <v>1</v>
      </c>
      <c r="AQ39" s="1043"/>
      <c r="AS39" s="1043"/>
      <c r="AT39" s="381" t="s">
        <v>4464</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4424</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4425</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4007</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4390</v>
      </c>
      <c r="B40" t="s">
        <v>4490</v>
      </c>
      <c r="C40" t="s">
        <v>2038</v>
      </c>
      <c r="D40" t="s">
        <v>95</v>
      </c>
      <c r="E40" t="s">
        <v>4050</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4066</v>
      </c>
      <c r="AL40" s="377">
        <v>3</v>
      </c>
      <c r="AM40" s="377">
        <v>1</v>
      </c>
      <c r="AN40" s="377">
        <v>1</v>
      </c>
      <c r="AO40" s="377">
        <v>3</v>
      </c>
      <c r="AP40" s="377">
        <v>1</v>
      </c>
      <c r="AQ40" s="1043"/>
      <c r="AS40" s="1043"/>
      <c r="AT40" s="381" t="s">
        <v>4465</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2997</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2997</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2219</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4050</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4066</v>
      </c>
      <c r="AL41" s="377">
        <v>3</v>
      </c>
      <c r="AM41" s="377">
        <v>1</v>
      </c>
      <c r="AN41" s="377">
        <v>1</v>
      </c>
      <c r="AO41" s="377">
        <v>3</v>
      </c>
      <c r="AP41" s="377">
        <v>1</v>
      </c>
      <c r="AQ41" s="1043"/>
      <c r="AS41" s="1043"/>
      <c r="AT41" s="381" t="s">
        <v>4466</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3035</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4395</v>
      </c>
      <c r="B42" t="s">
        <v>4772</v>
      </c>
      <c r="C42" t="s">
        <v>4761</v>
      </c>
      <c r="D42" t="s">
        <v>95</v>
      </c>
      <c r="E42" t="s">
        <v>4050</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4065</v>
      </c>
      <c r="AL42" s="377">
        <v>3</v>
      </c>
      <c r="AM42" s="377">
        <v>1</v>
      </c>
      <c r="AN42" s="377">
        <v>1</v>
      </c>
      <c r="AO42" s="377">
        <v>3</v>
      </c>
      <c r="AP42" s="377">
        <v>1</v>
      </c>
      <c r="AQ42" s="1043"/>
      <c r="AS42" s="1043"/>
      <c r="AT42" s="381" t="s">
        <v>4467</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4772</v>
      </c>
      <c r="C43" t="s">
        <v>4761</v>
      </c>
      <c r="D43" t="s">
        <v>95</v>
      </c>
      <c r="E43" t="s">
        <v>4050</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4065</v>
      </c>
      <c r="AL43" s="377">
        <v>3</v>
      </c>
      <c r="AM43" s="377">
        <v>1</v>
      </c>
      <c r="AN43" s="377">
        <v>1</v>
      </c>
      <c r="AO43" s="377">
        <v>3</v>
      </c>
      <c r="AP43" s="377">
        <v>1</v>
      </c>
      <c r="AQ43" s="1043"/>
      <c r="AS43" s="1043"/>
      <c r="AT43" s="379" t="s">
        <v>519</v>
      </c>
      <c r="AY43" s="63"/>
      <c r="BA43" s="28" t="s">
        <v>3032</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4772</v>
      </c>
      <c r="C44" t="s">
        <v>4761</v>
      </c>
      <c r="D44" t="s">
        <v>95</v>
      </c>
      <c r="E44" t="s">
        <v>4050</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4065</v>
      </c>
      <c r="AL44" s="377">
        <v>3</v>
      </c>
      <c r="AM44" s="377">
        <v>1</v>
      </c>
      <c r="AN44" s="377">
        <v>1</v>
      </c>
      <c r="AO44" s="377">
        <v>3</v>
      </c>
      <c r="AP44" s="377">
        <v>1</v>
      </c>
      <c r="AQ44" s="1043"/>
      <c r="AS44" s="1043"/>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3997</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4772</v>
      </c>
      <c r="C45" t="s">
        <v>4761</v>
      </c>
      <c r="D45" t="s">
        <v>95</v>
      </c>
      <c r="E45" t="s">
        <v>4050</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4065</v>
      </c>
      <c r="AL45" s="377">
        <v>3</v>
      </c>
      <c r="AM45" s="377">
        <v>1</v>
      </c>
      <c r="AN45" s="377">
        <v>1</v>
      </c>
      <c r="AO45" s="377">
        <v>3</v>
      </c>
      <c r="AP45" s="377">
        <v>1</v>
      </c>
      <c r="AQ45" s="1043"/>
      <c r="AS45" s="1043"/>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2" t="s">
        <v>2142</v>
      </c>
      <c r="DU45" s="1093"/>
      <c r="DV45" s="1093"/>
      <c r="DW45" s="1093"/>
      <c r="DX45" s="1093"/>
      <c r="DY45" s="1093"/>
      <c r="DZ45" s="1093"/>
      <c r="EA45" s="1094"/>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4420</v>
      </c>
      <c r="B46" t="s">
        <v>2064</v>
      </c>
      <c r="C46" t="s">
        <v>2038</v>
      </c>
      <c r="D46" t="s">
        <v>95</v>
      </c>
      <c r="E46" t="s">
        <v>4050</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4065</v>
      </c>
      <c r="AL46" s="377">
        <v>3</v>
      </c>
      <c r="AM46" s="377">
        <v>1</v>
      </c>
      <c r="AN46" s="377">
        <v>1</v>
      </c>
      <c r="AO46" s="377">
        <v>3</v>
      </c>
      <c r="AP46" s="377">
        <v>1</v>
      </c>
      <c r="AQ46" s="1043"/>
      <c r="AS46" s="1043"/>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43"/>
      <c r="AS47" s="1043"/>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3001</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4050</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4065</v>
      </c>
      <c r="AL48" s="377">
        <v>3</v>
      </c>
      <c r="AM48" s="377">
        <v>1</v>
      </c>
      <c r="AN48" s="377">
        <v>1</v>
      </c>
      <c r="AO48" s="377">
        <v>3</v>
      </c>
      <c r="AP48" s="377">
        <v>1</v>
      </c>
      <c r="AQ48" s="1043"/>
      <c r="AS48" s="1043"/>
      <c r="AT48" s="381" t="s">
        <v>4463</v>
      </c>
      <c r="AV48" s="297">
        <f t="shared" ref="AV48:AY49" si="191">1/(AV19*GSL_PJ_ML*10)</f>
        <v>0.80537846535957924</v>
      </c>
      <c r="AW48" s="297">
        <f t="shared" si="191"/>
        <v>0.80537846535957924</v>
      </c>
      <c r="AX48" s="297">
        <f t="shared" si="191"/>
        <v>0.80537846535957924</v>
      </c>
      <c r="AY48" s="437">
        <f t="shared" si="191"/>
        <v>0.80537846535957924</v>
      </c>
      <c r="BA48" s="17" t="s">
        <v>4423</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4050</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4065</v>
      </c>
      <c r="AL49" s="377">
        <v>3</v>
      </c>
      <c r="AM49" s="377">
        <v>1</v>
      </c>
      <c r="AN49" s="377">
        <v>1</v>
      </c>
      <c r="AO49" s="377">
        <v>3</v>
      </c>
      <c r="AP49" s="377">
        <v>1</v>
      </c>
      <c r="AQ49" s="1043"/>
      <c r="AS49" s="1043"/>
      <c r="AT49" s="381" t="s">
        <v>4464</v>
      </c>
      <c r="AV49" s="73">
        <f t="shared" si="191"/>
        <v>1.0651467027707895</v>
      </c>
      <c r="AW49" s="73">
        <f t="shared" si="191"/>
        <v>1.0651467027707895</v>
      </c>
      <c r="AX49" s="73">
        <f t="shared" si="191"/>
        <v>1.0651467027707895</v>
      </c>
      <c r="AY49" s="380">
        <f t="shared" si="191"/>
        <v>1.0651467027707895</v>
      </c>
      <c r="BA49" s="17" t="s">
        <v>4424</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4050</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4065</v>
      </c>
      <c r="AL50" s="377">
        <v>3</v>
      </c>
      <c r="AM50" s="377">
        <v>1</v>
      </c>
      <c r="AN50" s="377">
        <v>1</v>
      </c>
      <c r="AO50" s="377">
        <v>3</v>
      </c>
      <c r="AP50" s="377">
        <v>1</v>
      </c>
      <c r="AQ50" s="1043"/>
      <c r="AS50" s="1043"/>
      <c r="AT50" s="381" t="s">
        <v>4465</v>
      </c>
      <c r="AV50" s="73"/>
      <c r="AW50" s="73"/>
      <c r="AX50" s="73"/>
      <c r="AY50" s="380"/>
      <c r="BA50" s="17" t="s">
        <v>2997</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3001</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3001</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4050</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4065</v>
      </c>
      <c r="AL51" s="377">
        <v>3</v>
      </c>
      <c r="AM51" s="377">
        <v>1</v>
      </c>
      <c r="AN51" s="377">
        <v>1</v>
      </c>
      <c r="AO51" s="377">
        <v>3</v>
      </c>
      <c r="AP51" s="377">
        <v>1</v>
      </c>
      <c r="AT51" s="381" t="s">
        <v>4466</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4423</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4423</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4391</v>
      </c>
      <c r="B52" t="s">
        <v>4490</v>
      </c>
      <c r="C52" t="s">
        <v>2039</v>
      </c>
      <c r="D52" t="s">
        <v>95</v>
      </c>
      <c r="E52" t="s">
        <v>4050</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4066</v>
      </c>
      <c r="AL52" s="377">
        <v>3</v>
      </c>
      <c r="AM52" s="377">
        <v>1</v>
      </c>
      <c r="AN52" s="377">
        <v>1</v>
      </c>
      <c r="AO52" s="377">
        <v>3</v>
      </c>
      <c r="AP52" s="377">
        <v>1</v>
      </c>
      <c r="AT52" s="381" t="s">
        <v>4467</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4424</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4425</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4050</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4066</v>
      </c>
      <c r="AL53" s="377">
        <v>3</v>
      </c>
      <c r="AM53" s="377">
        <v>1</v>
      </c>
      <c r="AN53" s="377">
        <v>1</v>
      </c>
      <c r="AO53" s="377">
        <v>3</v>
      </c>
      <c r="AP53" s="377">
        <v>1</v>
      </c>
      <c r="AT53" s="1104" t="s">
        <v>942</v>
      </c>
      <c r="AU53" s="1105"/>
      <c r="AV53" s="1105"/>
      <c r="AW53" s="1105"/>
      <c r="AX53" s="1105"/>
      <c r="AY53" s="1106"/>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2997</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4468</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4396</v>
      </c>
      <c r="B54" t="s">
        <v>4772</v>
      </c>
      <c r="C54" t="s">
        <v>4762</v>
      </c>
      <c r="D54" t="s">
        <v>95</v>
      </c>
      <c r="E54" t="s">
        <v>4050</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4065</v>
      </c>
      <c r="AL54" s="377">
        <v>3</v>
      </c>
      <c r="AM54" s="377">
        <v>1</v>
      </c>
      <c r="AN54" s="377">
        <v>1</v>
      </c>
      <c r="AO54" s="377">
        <v>3</v>
      </c>
      <c r="AP54" s="377">
        <v>1</v>
      </c>
      <c r="AT54" s="1107"/>
      <c r="AU54" s="1108"/>
      <c r="AV54" s="1108"/>
      <c r="AW54" s="1108"/>
      <c r="AX54" s="1108"/>
      <c r="AY54" s="1109"/>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3035</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4772</v>
      </c>
      <c r="C55" t="s">
        <v>4762</v>
      </c>
      <c r="D55" t="s">
        <v>95</v>
      </c>
      <c r="E55" t="s">
        <v>4050</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4065</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4772</v>
      </c>
      <c r="C56" t="s">
        <v>4762</v>
      </c>
      <c r="D56" t="s">
        <v>95</v>
      </c>
      <c r="E56" t="s">
        <v>4050</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4065</v>
      </c>
      <c r="AL56" s="377">
        <v>3</v>
      </c>
      <c r="AM56" s="377">
        <v>1</v>
      </c>
      <c r="AN56" s="377">
        <v>1</v>
      </c>
      <c r="AO56" s="377">
        <v>3</v>
      </c>
      <c r="AP56" s="377">
        <v>1</v>
      </c>
      <c r="BA56" s="28" t="s">
        <v>3033</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4772</v>
      </c>
      <c r="C57" t="s">
        <v>4762</v>
      </c>
      <c r="D57" t="s">
        <v>95</v>
      </c>
      <c r="E57" t="s">
        <v>4050</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4065</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4421</v>
      </c>
      <c r="B58" t="s">
        <v>2064</v>
      </c>
      <c r="C58" t="s">
        <v>2039</v>
      </c>
      <c r="D58" t="s">
        <v>95</v>
      </c>
      <c r="E58" t="s">
        <v>4050</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4065</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2" t="s">
        <v>2136</v>
      </c>
      <c r="AU59" s="1093"/>
      <c r="AV59" s="1093"/>
      <c r="AW59" s="1093"/>
      <c r="AX59" s="1094"/>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4050</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4065</v>
      </c>
      <c r="AL60" s="377">
        <v>3</v>
      </c>
      <c r="AM60" s="377">
        <v>1</v>
      </c>
      <c r="AN60" s="377">
        <v>1</v>
      </c>
      <c r="AO60" s="377">
        <v>3</v>
      </c>
      <c r="AP60" s="377">
        <v>1</v>
      </c>
      <c r="AT60" s="1095" t="s">
        <v>1471</v>
      </c>
      <c r="AU60" s="1036"/>
      <c r="AV60" s="1036"/>
      <c r="AW60" s="1036"/>
      <c r="AX60" s="1096"/>
      <c r="BA60" s="17" t="s">
        <v>3001</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4017</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4050</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4065</v>
      </c>
      <c r="AL61" s="377">
        <v>3</v>
      </c>
      <c r="AM61" s="377">
        <v>1</v>
      </c>
      <c r="AN61" s="377">
        <v>1</v>
      </c>
      <c r="AO61" s="377">
        <v>3</v>
      </c>
      <c r="AP61" s="377">
        <v>1</v>
      </c>
      <c r="AT61" s="232" t="s">
        <v>1472</v>
      </c>
      <c r="AU61" s="88" t="s">
        <v>1536</v>
      </c>
      <c r="AV61" s="594" t="s">
        <v>1482</v>
      </c>
      <c r="AW61" s="41"/>
      <c r="AX61" s="378" t="s">
        <v>3998</v>
      </c>
      <c r="BA61" s="17" t="s">
        <v>4423</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2529</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4050</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4065</v>
      </c>
      <c r="AL62" s="377">
        <v>3</v>
      </c>
      <c r="AM62" s="377">
        <v>1</v>
      </c>
      <c r="AN62" s="377">
        <v>1</v>
      </c>
      <c r="AO62" s="377">
        <v>3</v>
      </c>
      <c r="AP62" s="377">
        <v>1</v>
      </c>
      <c r="AT62" s="379" t="s">
        <v>17</v>
      </c>
      <c r="AV62" s="405">
        <v>2018</v>
      </c>
      <c r="AW62" s="811">
        <v>2021</v>
      </c>
      <c r="AX62" s="63"/>
      <c r="BA62" s="17" t="s">
        <v>4424</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4050</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4065</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2997</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4018</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4392</v>
      </c>
      <c r="B64" t="s">
        <v>4490</v>
      </c>
      <c r="C64" t="s">
        <v>2040</v>
      </c>
      <c r="D64" t="s">
        <v>95</v>
      </c>
      <c r="E64" t="s">
        <v>4050</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4066</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4019</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4050</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4066</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86" t="s">
        <v>3981</v>
      </c>
      <c r="CH65" s="1086"/>
      <c r="CI65" s="1086"/>
      <c r="CJ65" s="1086"/>
      <c r="CK65" s="1086"/>
      <c r="CL65" s="1086"/>
      <c r="CM65" s="1086"/>
      <c r="CN65" s="1086"/>
      <c r="CO65" s="1086"/>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4019</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4397</v>
      </c>
      <c r="B66" t="s">
        <v>4772</v>
      </c>
      <c r="C66" t="s">
        <v>4763</v>
      </c>
      <c r="D66" t="s">
        <v>95</v>
      </c>
      <c r="E66" t="s">
        <v>4050</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4065</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86"/>
      <c r="CH66" s="1086"/>
      <c r="CI66" s="1086"/>
      <c r="CJ66" s="1086"/>
      <c r="CK66" s="1086"/>
      <c r="CL66" s="1086"/>
      <c r="CM66" s="1086"/>
      <c r="CN66" s="1086"/>
      <c r="CO66" s="1086"/>
      <c r="CQ66" s="77" t="s">
        <v>4030</v>
      </c>
      <c r="DA66" s="392" t="s">
        <v>1963</v>
      </c>
      <c r="DB66" s="68"/>
      <c r="DC66" s="68"/>
      <c r="DD66" s="68"/>
      <c r="DE66" s="68"/>
      <c r="DF66" s="68"/>
      <c r="DG66" s="68"/>
      <c r="DH66" s="296"/>
      <c r="EC66" s="381" t="s">
        <v>240</v>
      </c>
      <c r="ED66" s="73" t="s">
        <v>4019</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4772</v>
      </c>
      <c r="C67" t="s">
        <v>4763</v>
      </c>
      <c r="D67" t="s">
        <v>95</v>
      </c>
      <c r="E67" t="s">
        <v>4050</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4065</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86"/>
      <c r="CH67" s="1086"/>
      <c r="CI67" s="1086"/>
      <c r="CJ67" s="1086"/>
      <c r="CK67" s="1086"/>
      <c r="CL67" s="1086"/>
      <c r="CM67" s="1086"/>
      <c r="CN67" s="1086"/>
      <c r="CO67" s="1086"/>
      <c r="CU67" s="60"/>
      <c r="CV67" s="60"/>
      <c r="CW67" s="60"/>
      <c r="CX67" s="60"/>
      <c r="CY67" s="85"/>
      <c r="EC67" s="381" t="s">
        <v>247</v>
      </c>
      <c r="ED67" s="73" t="s">
        <v>4018</v>
      </c>
      <c r="EE67" s="73">
        <v>27.219131000000001</v>
      </c>
      <c r="EF67" s="73">
        <v>27.325966000000001</v>
      </c>
      <c r="EG67" s="73">
        <v>27.583223</v>
      </c>
      <c r="EH67" s="73">
        <v>27.721041</v>
      </c>
      <c r="EI67" s="73">
        <v>27.722601000000001</v>
      </c>
      <c r="EJ67" s="73">
        <v>27.722559</v>
      </c>
      <c r="EK67" s="73">
        <v>27.722542000000001</v>
      </c>
      <c r="EM67" s="14" t="s">
        <v>4022</v>
      </c>
      <c r="EN67" s="445"/>
      <c r="EO67" s="445"/>
      <c r="EP67" s="445"/>
      <c r="EQ67" s="445"/>
      <c r="ER67" s="445"/>
      <c r="ES67" s="445"/>
      <c r="ET67" s="445"/>
      <c r="EU67" s="63"/>
    </row>
    <row r="68" spans="1:151" ht="15.75" x14ac:dyDescent="0.25">
      <c r="A68" t="s">
        <v>1039</v>
      </c>
      <c r="B68" t="s">
        <v>4772</v>
      </c>
      <c r="C68" t="s">
        <v>4763</v>
      </c>
      <c r="D68" t="s">
        <v>95</v>
      </c>
      <c r="E68" t="s">
        <v>4050</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4065</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3047</v>
      </c>
      <c r="BB68" s="17"/>
      <c r="BC68" s="60"/>
      <c r="BD68" s="60"/>
      <c r="BE68" s="60"/>
      <c r="BF68" s="60"/>
      <c r="BG68" s="60"/>
      <c r="BH68" s="60"/>
      <c r="BI68" s="60"/>
      <c r="BJ68" s="85"/>
      <c r="CQ68" s="304" t="s">
        <v>4013</v>
      </c>
      <c r="CU68" s="60"/>
      <c r="CV68" s="60"/>
      <c r="CW68" s="60"/>
      <c r="CX68" s="60"/>
      <c r="CY68" s="85"/>
      <c r="DA68" s="386" t="s">
        <v>4021</v>
      </c>
      <c r="DB68" s="369"/>
      <c r="DC68" s="369"/>
      <c r="DD68" s="369"/>
      <c r="DE68" s="369"/>
      <c r="DF68" s="369"/>
      <c r="DG68" s="369"/>
      <c r="DH68" s="369"/>
      <c r="EC68" s="381" t="s">
        <v>1027</v>
      </c>
      <c r="ED68" s="73" t="s">
        <v>4018</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4772</v>
      </c>
      <c r="C69" t="s">
        <v>4763</v>
      </c>
      <c r="D69" t="s">
        <v>95</v>
      </c>
      <c r="E69" t="s">
        <v>4050</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4065</v>
      </c>
      <c r="AL69" s="377">
        <v>3</v>
      </c>
      <c r="AM69" s="377">
        <v>1</v>
      </c>
      <c r="AN69" s="377">
        <v>1</v>
      </c>
      <c r="AO69" s="377">
        <v>3</v>
      </c>
      <c r="AP69" s="377">
        <v>1</v>
      </c>
      <c r="AT69" s="379" t="s">
        <v>1481</v>
      </c>
      <c r="AV69" s="405">
        <v>2020</v>
      </c>
      <c r="AW69" s="52"/>
      <c r="AX69" s="233">
        <v>2022</v>
      </c>
      <c r="BB69" s="61"/>
      <c r="CQ69" s="88" t="s">
        <v>4008</v>
      </c>
      <c r="CR69" s="88" t="s">
        <v>4011</v>
      </c>
      <c r="CS69" s="88" t="s">
        <v>4003</v>
      </c>
      <c r="CU69" s="60"/>
      <c r="CV69" s="60"/>
      <c r="CW69" s="60"/>
      <c r="CX69" s="60"/>
      <c r="CY69" s="85"/>
      <c r="DA69" s="88" t="s">
        <v>246</v>
      </c>
      <c r="DB69" s="88">
        <v>2022</v>
      </c>
      <c r="DC69" s="88">
        <v>2025</v>
      </c>
      <c r="DD69" s="88">
        <v>2030</v>
      </c>
      <c r="DE69" s="88">
        <v>2035</v>
      </c>
      <c r="DF69" s="88">
        <v>2040</v>
      </c>
      <c r="DG69" s="88">
        <v>2045</v>
      </c>
      <c r="DH69" s="88">
        <v>2050</v>
      </c>
      <c r="EC69" s="381" t="s">
        <v>1028</v>
      </c>
      <c r="ED69" s="73" t="s">
        <v>4019</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4422</v>
      </c>
      <c r="B70" t="s">
        <v>2064</v>
      </c>
      <c r="C70" t="s">
        <v>2040</v>
      </c>
      <c r="D70" t="s">
        <v>95</v>
      </c>
      <c r="E70" t="s">
        <v>4050</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4065</v>
      </c>
      <c r="AL70" s="377">
        <v>3</v>
      </c>
      <c r="AM70" s="377">
        <v>1</v>
      </c>
      <c r="AN70" s="377">
        <v>1</v>
      </c>
      <c r="AO70" s="377">
        <v>3</v>
      </c>
      <c r="AP70" s="377">
        <v>1</v>
      </c>
      <c r="AT70" s="381" t="s">
        <v>4001</v>
      </c>
      <c r="AU70" t="s">
        <v>4001</v>
      </c>
      <c r="AV70" s="72"/>
      <c r="AW70" s="52"/>
      <c r="AX70" s="813">
        <f>'Background Data'!$AF$45</f>
        <v>0.64368048757149066</v>
      </c>
      <c r="CQ70" t="s">
        <v>4009</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4018</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4010</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4050</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4068</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4012</v>
      </c>
      <c r="DA72" s="386" t="s">
        <v>4031</v>
      </c>
      <c r="DB72" s="369"/>
      <c r="DC72" s="369"/>
      <c r="DD72" s="369"/>
      <c r="DE72" s="369"/>
      <c r="DF72" s="369"/>
      <c r="DG72" s="369"/>
      <c r="DH72" s="369"/>
      <c r="EC72" s="396" t="s">
        <v>107</v>
      </c>
      <c r="ED72" s="73" t="s">
        <v>4018</v>
      </c>
      <c r="EE72" s="73">
        <v>10.573097000000001</v>
      </c>
      <c r="EF72" s="73">
        <v>11.977176</v>
      </c>
      <c r="EG72" s="73">
        <v>13.589658</v>
      </c>
      <c r="EH72" s="73">
        <v>13.905892</v>
      </c>
      <c r="EI72" s="73">
        <v>13.875050999999999</v>
      </c>
      <c r="EJ72" s="73">
        <v>13.853432</v>
      </c>
      <c r="EK72" s="73">
        <v>13.843116999999999</v>
      </c>
      <c r="EM72" s="14" t="s">
        <v>4023</v>
      </c>
      <c r="EN72" s="445"/>
      <c r="EO72" s="445"/>
      <c r="EP72" s="445"/>
      <c r="EQ72" s="445"/>
      <c r="ER72" s="445"/>
      <c r="ES72" s="445"/>
      <c r="ET72" s="445"/>
      <c r="EU72" s="63"/>
    </row>
    <row r="73" spans="1:151" ht="16.5" thickTop="1" thickBot="1" x14ac:dyDescent="0.3">
      <c r="A73" t="s">
        <v>1041</v>
      </c>
      <c r="B73" t="s">
        <v>2054</v>
      </c>
      <c r="C73" t="s">
        <v>2041</v>
      </c>
      <c r="D73" t="s">
        <v>95</v>
      </c>
      <c r="E73" t="s">
        <v>4050</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4068</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4019</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4050</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4068</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4019</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4040</v>
      </c>
      <c r="C75" t="s">
        <v>2041</v>
      </c>
      <c r="D75" t="s">
        <v>95</v>
      </c>
      <c r="E75" t="s">
        <v>4050</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4068</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4020</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4050</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4068</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4032</v>
      </c>
      <c r="EC76" s="381" t="s">
        <v>247</v>
      </c>
      <c r="ED76" s="73" t="s">
        <v>4019</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4050</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4068</v>
      </c>
      <c r="AL77" s="377">
        <v>3</v>
      </c>
      <c r="AM77" s="377">
        <v>1</v>
      </c>
      <c r="AN77" s="377">
        <v>1</v>
      </c>
      <c r="AO77" s="377">
        <v>3</v>
      </c>
      <c r="AP77" s="377">
        <v>1</v>
      </c>
      <c r="AT77" s="1111" t="s">
        <v>1546</v>
      </c>
      <c r="AU77" s="1038"/>
      <c r="AV77" s="1038"/>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4019</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4050</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4068</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4019</v>
      </c>
      <c r="EE78" s="73">
        <v>0</v>
      </c>
      <c r="EF78" s="73">
        <v>10.816065</v>
      </c>
      <c r="EG78" s="73">
        <v>11.822108999999999</v>
      </c>
      <c r="EH78" s="73">
        <v>13.026942</v>
      </c>
      <c r="EI78" s="73">
        <v>13.254457</v>
      </c>
      <c r="EJ78" s="73">
        <v>13.225935</v>
      </c>
      <c r="EK78" s="73">
        <v>13.183807</v>
      </c>
      <c r="EM78" s="14" t="s">
        <v>4033</v>
      </c>
      <c r="EN78" s="445"/>
      <c r="EO78" s="445"/>
      <c r="EP78" s="445"/>
      <c r="EQ78" s="445"/>
      <c r="ER78" s="445"/>
      <c r="ES78" s="445"/>
      <c r="ET78" s="445"/>
      <c r="EU78" s="63"/>
    </row>
    <row r="79" spans="1:151" ht="21.75" thickTop="1" x14ac:dyDescent="0.35">
      <c r="A79" t="s">
        <v>1074</v>
      </c>
      <c r="B79" t="s">
        <v>2054</v>
      </c>
      <c r="C79" t="s">
        <v>2042</v>
      </c>
      <c r="D79" t="s">
        <v>95</v>
      </c>
      <c r="E79" t="s">
        <v>4050</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4069</v>
      </c>
      <c r="AL79" s="377">
        <v>3</v>
      </c>
      <c r="AM79" s="377">
        <v>1</v>
      </c>
      <c r="AN79" s="377">
        <v>1</v>
      </c>
      <c r="AO79" s="377">
        <v>3</v>
      </c>
      <c r="AP79" s="377">
        <v>1</v>
      </c>
      <c r="AT79" s="379" t="s">
        <v>1543</v>
      </c>
      <c r="AX79" s="63"/>
      <c r="BJ79" s="1092" t="s">
        <v>2137</v>
      </c>
      <c r="BK79" s="1093"/>
      <c r="BL79" s="1093"/>
      <c r="BM79" s="1093"/>
      <c r="BN79" s="1093"/>
      <c r="BO79" s="1093"/>
      <c r="BP79" s="1093"/>
      <c r="BQ79" s="1093"/>
      <c r="BR79" s="1094"/>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4035</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4019</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4050</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4069</v>
      </c>
      <c r="AL80" s="377">
        <v>3</v>
      </c>
      <c r="AM80" s="377">
        <v>1</v>
      </c>
      <c r="AN80" s="377">
        <v>1</v>
      </c>
      <c r="AO80" s="377">
        <v>3</v>
      </c>
      <c r="AP80" s="377">
        <v>1</v>
      </c>
      <c r="AT80" s="381" t="s">
        <v>3999</v>
      </c>
      <c r="AU80" t="s">
        <v>1931</v>
      </c>
      <c r="AV80" s="750">
        <f>'Background Data'!AL124/SUM('Background Data'!AL124,'Background Data'!AL131)</f>
        <v>0.18272858103533385</v>
      </c>
      <c r="AX80" s="63"/>
      <c r="BA80" s="28" t="s">
        <v>1689</v>
      </c>
      <c r="BB80" s="28"/>
      <c r="BJ80" s="379" t="s">
        <v>1958</v>
      </c>
      <c r="BR80" s="63"/>
      <c r="BW80" t="s">
        <v>17</v>
      </c>
      <c r="CG80" t="s">
        <v>4006</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4038</v>
      </c>
      <c r="C81" t="s">
        <v>2042</v>
      </c>
      <c r="D81" t="s">
        <v>95</v>
      </c>
      <c r="E81" t="s">
        <v>4050</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4069</v>
      </c>
      <c r="AL81" s="377">
        <v>3</v>
      </c>
      <c r="AM81" s="377">
        <v>1</v>
      </c>
      <c r="AN81" s="377">
        <v>1</v>
      </c>
      <c r="AO81" s="377">
        <v>3</v>
      </c>
      <c r="AP81" s="377">
        <v>1</v>
      </c>
      <c r="AT81" s="388" t="s">
        <v>4000</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4018</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4050</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4069</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4007</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4019</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4050</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4069</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4018</v>
      </c>
      <c r="EE83" s="73">
        <v>6.2555990000000001</v>
      </c>
      <c r="EF83" s="73">
        <v>6.8722630000000002</v>
      </c>
      <c r="EG83" s="73">
        <v>7.4347209999999997</v>
      </c>
      <c r="EH83" s="73">
        <v>7.5954969999999999</v>
      </c>
      <c r="EI83" s="73">
        <v>7.5832319999999998</v>
      </c>
      <c r="EJ83" s="73">
        <v>7.5757190000000003</v>
      </c>
      <c r="EK83" s="73">
        <v>7.5872270000000004</v>
      </c>
      <c r="EM83" s="14" t="s">
        <v>4034</v>
      </c>
      <c r="EN83" s="445"/>
      <c r="EO83" s="445"/>
      <c r="EP83" s="445"/>
      <c r="EQ83" s="445"/>
      <c r="ER83" s="445"/>
      <c r="ES83" s="445"/>
      <c r="ET83" s="445"/>
      <c r="EU83" s="63"/>
    </row>
    <row r="84" spans="1:151" ht="15.75" thickBot="1" x14ac:dyDescent="0.3">
      <c r="A84" t="s">
        <v>1079</v>
      </c>
      <c r="B84" t="s">
        <v>2066</v>
      </c>
      <c r="C84" t="s">
        <v>2042</v>
      </c>
      <c r="D84" t="s">
        <v>95</v>
      </c>
      <c r="E84" t="s">
        <v>4050</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4069</v>
      </c>
      <c r="AL84" s="377">
        <v>3</v>
      </c>
      <c r="AM84" s="377">
        <v>1</v>
      </c>
      <c r="AN84" s="377">
        <v>1</v>
      </c>
      <c r="AO84" s="377">
        <v>3</v>
      </c>
      <c r="AP84" s="377">
        <v>1</v>
      </c>
      <c r="BJ84" s="392" t="s">
        <v>1952</v>
      </c>
      <c r="BK84" s="68"/>
      <c r="BL84" s="68"/>
      <c r="BM84" s="68"/>
      <c r="BN84" s="68"/>
      <c r="BO84" s="68"/>
      <c r="BP84" s="68"/>
      <c r="BQ84" s="68"/>
      <c r="BR84" s="296"/>
      <c r="BW84" t="s">
        <v>3001</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4018</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2698</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2999</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4018</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4772</v>
      </c>
      <c r="C86" t="s">
        <v>4764</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2699</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3000</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4290</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4019</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4050</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4072</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3039</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4796</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4018</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4050</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4070</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3040</v>
      </c>
      <c r="BX88">
        <v>14.362825909467675</v>
      </c>
      <c r="BY88">
        <v>15.457594200307893</v>
      </c>
      <c r="BZ88">
        <v>14.634968753267426</v>
      </c>
      <c r="CA88">
        <v>14.318457640756421</v>
      </c>
      <c r="CB88">
        <v>13.832812931603712</v>
      </c>
      <c r="CC88">
        <v>13.332120139619072</v>
      </c>
      <c r="CD88">
        <v>12.866407383472113</v>
      </c>
      <c r="CE88">
        <v>12.432132661526099</v>
      </c>
      <c r="CG88" t="s">
        <v>1080</v>
      </c>
      <c r="CQ88" t="s">
        <v>4291</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4050</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4073</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3041</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4797</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4050</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4070</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3042</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4292</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4038</v>
      </c>
      <c r="C91" t="s">
        <v>2044</v>
      </c>
      <c r="D91" t="s">
        <v>95</v>
      </c>
      <c r="E91" t="s">
        <v>4050</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4070</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4798</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4050</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4070</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4050</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4070</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4050</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4070</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4050</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4074</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4050</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4071</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4050</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4075</v>
      </c>
      <c r="AL97" s="377">
        <v>3</v>
      </c>
      <c r="AM97" s="377">
        <v>1</v>
      </c>
      <c r="AN97" s="377">
        <v>1</v>
      </c>
      <c r="AO97" s="377">
        <v>3</v>
      </c>
      <c r="AP97" s="377">
        <v>2</v>
      </c>
      <c r="BS97" t="s">
        <v>258</v>
      </c>
      <c r="BT97" t="s">
        <v>609</v>
      </c>
      <c r="BW97" t="s">
        <v>3001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4050</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4071</v>
      </c>
      <c r="AL98" s="377">
        <v>3</v>
      </c>
      <c r="AM98" s="377">
        <v>1</v>
      </c>
      <c r="AN98" s="377">
        <v>1</v>
      </c>
      <c r="AO98" s="377">
        <v>3</v>
      </c>
      <c r="AP98" s="377">
        <v>1</v>
      </c>
      <c r="BS98" t="s">
        <v>527</v>
      </c>
      <c r="BT98">
        <v>1.5853999866418103</v>
      </c>
      <c r="BW98" t="s">
        <v>2999</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4038</v>
      </c>
      <c r="C99" t="s">
        <v>2045</v>
      </c>
      <c r="D99" t="s">
        <v>95</v>
      </c>
      <c r="E99" t="s">
        <v>4050</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4071</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3000</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4050</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4071</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3039</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4050</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4071</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3040</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4050</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4071</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3041</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4055</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4076</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3042</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4055</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4077</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4055</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4078</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4055</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4077</v>
      </c>
      <c r="AL106" s="377">
        <v>3</v>
      </c>
      <c r="AM106" s="377">
        <v>1</v>
      </c>
      <c r="AN106" s="377">
        <v>1</v>
      </c>
      <c r="AO106" s="377">
        <v>3</v>
      </c>
      <c r="AP106" s="377">
        <v>1</v>
      </c>
      <c r="BD106" s="80"/>
      <c r="BE106" s="80"/>
      <c r="BF106" s="80"/>
      <c r="BG106" s="80"/>
      <c r="BH106" s="80"/>
      <c r="BI106" s="80"/>
      <c r="BS106" t="s">
        <v>1922</v>
      </c>
      <c r="BT106">
        <v>16.880000000394908</v>
      </c>
      <c r="BW106" s="28" t="s">
        <v>4304</v>
      </c>
    </row>
    <row r="107" spans="1:92" x14ac:dyDescent="0.25">
      <c r="A107" t="s">
        <v>1114</v>
      </c>
      <c r="B107" t="s">
        <v>2066</v>
      </c>
      <c r="C107" t="s">
        <v>2046</v>
      </c>
      <c r="D107" t="s">
        <v>95</v>
      </c>
      <c r="E107" t="s">
        <v>4055</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4077</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4244</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4006</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4244</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4245</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4007</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4245</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3001</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2999</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3000</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3039</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3040</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3041</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4768</v>
      </c>
      <c r="B121" t="s">
        <v>2951</v>
      </c>
      <c r="C121" t="s">
        <v>4772</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4769</v>
      </c>
      <c r="B122" t="s">
        <v>2951</v>
      </c>
      <c r="C122" t="s">
        <v>4773</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2951</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2951</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2882</v>
      </c>
      <c r="B125" t="s">
        <v>4080</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4793</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2882</v>
      </c>
      <c r="B126" t="s">
        <v>2891</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3001</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4080</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4794</v>
      </c>
      <c r="AL127" s="377">
        <v>3</v>
      </c>
      <c r="AM127" s="377">
        <v>1</v>
      </c>
      <c r="AN127" s="377">
        <v>1</v>
      </c>
      <c r="AO127" s="377">
        <v>3</v>
      </c>
      <c r="AP127" s="377">
        <v>1</v>
      </c>
      <c r="BC127" s="80"/>
      <c r="BD127" s="80"/>
      <c r="BE127" s="80"/>
      <c r="BF127" s="80"/>
      <c r="BG127" s="80"/>
      <c r="BH127" s="80"/>
      <c r="BI127" s="80"/>
      <c r="BS127" s="85"/>
      <c r="BW127" t="s">
        <v>2999</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3000</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4636</v>
      </c>
      <c r="AL129" s="377">
        <v>3</v>
      </c>
      <c r="AM129" s="377">
        <v>1</v>
      </c>
      <c r="AN129" s="377">
        <v>1</v>
      </c>
      <c r="AO129" s="377">
        <v>3</v>
      </c>
      <c r="AP129" s="377">
        <v>1</v>
      </c>
      <c r="BW129" t="s">
        <v>3039</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4636</v>
      </c>
      <c r="AL130" s="377">
        <v>3</v>
      </c>
      <c r="AM130" s="377">
        <v>1</v>
      </c>
      <c r="AN130" s="377">
        <v>1</v>
      </c>
      <c r="AO130" s="377">
        <v>3</v>
      </c>
      <c r="AP130" s="377">
        <v>1</v>
      </c>
      <c r="BW130" t="s">
        <v>3040</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4636</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3041</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2948</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2948</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4040</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4040</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4293</v>
      </c>
      <c r="BY137" t="s">
        <v>4294</v>
      </c>
    </row>
    <row r="138" spans="1:82" x14ac:dyDescent="0.25">
      <c r="A138" t="s">
        <v>1894</v>
      </c>
      <c r="B138" t="s">
        <v>2054</v>
      </c>
      <c r="C138" t="s">
        <v>4038</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4295</v>
      </c>
      <c r="BX138">
        <v>671.94767335696099</v>
      </c>
      <c r="BY138">
        <v>5.5959925763464602</v>
      </c>
    </row>
    <row r="139" spans="1:82" x14ac:dyDescent="0.25">
      <c r="A139" t="s">
        <v>1894</v>
      </c>
      <c r="B139" t="s">
        <v>2063</v>
      </c>
      <c r="C139" t="s">
        <v>4038</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4295</v>
      </c>
      <c r="BX139">
        <v>684.15611925658698</v>
      </c>
      <c r="BY139">
        <v>3.5016325286358598</v>
      </c>
    </row>
    <row r="140" spans="1:82" x14ac:dyDescent="0.25">
      <c r="A140" t="s">
        <v>4393</v>
      </c>
      <c r="B140" t="s">
        <v>2053</v>
      </c>
      <c r="C140" t="s">
        <v>4490</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4295</v>
      </c>
      <c r="BX140">
        <v>756.54078520464805</v>
      </c>
      <c r="BY140">
        <v>4.2273460231186002</v>
      </c>
    </row>
    <row r="141" spans="1:82" x14ac:dyDescent="0.25">
      <c r="A141" t="s">
        <v>4393</v>
      </c>
      <c r="B141" t="s">
        <v>4773</v>
      </c>
      <c r="C141" t="s">
        <v>4490</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4295</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4295</v>
      </c>
      <c r="BX142">
        <v>862.45233323579896</v>
      </c>
      <c r="BY142">
        <v>3.6091130769609601</v>
      </c>
    </row>
    <row r="143" spans="1:82" x14ac:dyDescent="0.25">
      <c r="A143" t="s">
        <v>1859</v>
      </c>
      <c r="B143" t="s">
        <v>4773</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4295</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4295</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4296</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4296</v>
      </c>
      <c r="BX147">
        <v>705.58082073007097</v>
      </c>
      <c r="BY147">
        <v>3.8091831385186601</v>
      </c>
      <c r="BZ147">
        <f t="shared" ref="BZ147:BZ152" si="375">(BY147-BY139)/(BX147-BX139) * 1000</f>
        <v>14.354954269184864</v>
      </c>
    </row>
    <row r="148" spans="1:78" x14ac:dyDescent="0.25">
      <c r="A148" t="s">
        <v>2954</v>
      </c>
      <c r="B148" t="s">
        <v>2935</v>
      </c>
      <c r="C148" t="s">
        <v>2951</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4296</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4296</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4296</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4296</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4296</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4297</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4297</v>
      </c>
      <c r="BX154">
        <v>710.20875562529898</v>
      </c>
      <c r="BY154">
        <v>4.7855230755699196</v>
      </c>
      <c r="BZ154">
        <f t="shared" ref="BZ154:BZ159" si="376">(BY154-BY139)/(BX154-BX139) * 1000</f>
        <v>49.280638195831585</v>
      </c>
    </row>
    <row r="155" spans="1:78" x14ac:dyDescent="0.25">
      <c r="A155" t="s">
        <v>4084</v>
      </c>
      <c r="B155" t="s">
        <v>2897</v>
      </c>
      <c r="C155" t="s">
        <v>4082</v>
      </c>
      <c r="D155" t="s">
        <v>95</v>
      </c>
      <c r="G155" s="52" t="s">
        <v>1769</v>
      </c>
      <c r="R155" s="59"/>
      <c r="S155" s="59"/>
      <c r="T155" s="59"/>
      <c r="U155" s="59"/>
      <c r="V155" s="59"/>
      <c r="W155" s="59"/>
      <c r="X155" s="59"/>
      <c r="Y155" s="59"/>
      <c r="Z155" s="59"/>
      <c r="AA155" s="59"/>
      <c r="AB155" s="59"/>
      <c r="AC155" s="245">
        <v>1</v>
      </c>
      <c r="AK155" s="54" t="s">
        <v>2900</v>
      </c>
      <c r="BV155">
        <v>2030</v>
      </c>
      <c r="BW155" t="s">
        <v>4297</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4297</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4297</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4297</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4297</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4085</v>
      </c>
      <c r="B166" t="s">
        <v>4082</v>
      </c>
      <c r="C166" t="s">
        <v>4083</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2883</v>
      </c>
      <c r="B171" t="s">
        <v>2893</v>
      </c>
      <c r="C171" t="s">
        <v>2891</v>
      </c>
      <c r="D171" t="s">
        <v>95</v>
      </c>
      <c r="E171" t="s">
        <v>1644</v>
      </c>
      <c r="F171">
        <v>2022</v>
      </c>
      <c r="G171" s="52" t="s">
        <v>1769</v>
      </c>
      <c r="AC171" s="245">
        <v>1</v>
      </c>
      <c r="AK171" s="54" t="s">
        <v>2901</v>
      </c>
      <c r="AL171" s="377">
        <v>3</v>
      </c>
      <c r="AM171" s="377">
        <v>2</v>
      </c>
      <c r="AN171" s="377">
        <v>1</v>
      </c>
      <c r="AO171" s="377">
        <v>3</v>
      </c>
      <c r="AP171" s="377">
        <v>1</v>
      </c>
    </row>
    <row r="172" spans="1:42" x14ac:dyDescent="0.25">
      <c r="A172" t="s">
        <v>2886</v>
      </c>
      <c r="B172" t="s">
        <v>4080</v>
      </c>
      <c r="C172" t="s">
        <v>2903</v>
      </c>
      <c r="D172" t="s">
        <v>95</v>
      </c>
      <c r="E172" t="s">
        <v>1644</v>
      </c>
      <c r="F172">
        <v>2022</v>
      </c>
      <c r="G172" s="52" t="s">
        <v>1769</v>
      </c>
      <c r="AC172" s="245">
        <v>0.99</v>
      </c>
      <c r="AD172" s="59">
        <v>0.99</v>
      </c>
      <c r="AE172" s="59">
        <v>0.99</v>
      </c>
      <c r="AF172" s="59">
        <v>0.99</v>
      </c>
      <c r="AG172" s="59">
        <v>0.99</v>
      </c>
      <c r="AH172" s="59">
        <v>0.99</v>
      </c>
      <c r="AI172" s="59">
        <v>0.99</v>
      </c>
      <c r="AK172" s="54" t="s">
        <v>2904</v>
      </c>
      <c r="AL172" s="377">
        <v>3</v>
      </c>
      <c r="AM172" s="377">
        <v>2</v>
      </c>
      <c r="AN172" s="377">
        <v>1</v>
      </c>
      <c r="AO172" s="377">
        <v>3</v>
      </c>
      <c r="AP172" s="377">
        <v>1</v>
      </c>
    </row>
    <row r="173" spans="1:42" x14ac:dyDescent="0.25">
      <c r="A173" t="s">
        <v>2902</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4689</v>
      </c>
      <c r="B174" t="s">
        <v>2903</v>
      </c>
      <c r="C174" t="s">
        <v>2893</v>
      </c>
      <c r="D174" t="s">
        <v>95</v>
      </c>
      <c r="E174" t="s">
        <v>4700</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4738</v>
      </c>
      <c r="AL174" s="377">
        <v>2</v>
      </c>
      <c r="AM174" s="377">
        <v>2</v>
      </c>
      <c r="AN174" s="377">
        <v>1</v>
      </c>
      <c r="AO174" s="377">
        <v>3</v>
      </c>
      <c r="AP174" s="377">
        <v>1</v>
      </c>
    </row>
    <row r="175" spans="1:42" x14ac:dyDescent="0.25">
      <c r="A175" t="s">
        <v>4690</v>
      </c>
      <c r="B175" t="s">
        <v>2903</v>
      </c>
      <c r="C175" t="s">
        <v>2893</v>
      </c>
      <c r="D175" t="s">
        <v>95</v>
      </c>
      <c r="E175" t="s">
        <v>4700</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4739</v>
      </c>
      <c r="AL175" s="377">
        <v>2</v>
      </c>
      <c r="AM175" s="377">
        <v>2</v>
      </c>
      <c r="AN175" s="377">
        <v>1</v>
      </c>
      <c r="AO175" s="377">
        <v>3</v>
      </c>
      <c r="AP175" s="377">
        <v>1</v>
      </c>
    </row>
    <row r="176" spans="1:42" x14ac:dyDescent="0.25">
      <c r="A176" t="s">
        <v>2884</v>
      </c>
      <c r="B176" t="s">
        <v>4083</v>
      </c>
      <c r="C176" t="s">
        <v>2893</v>
      </c>
      <c r="D176" t="s">
        <v>95</v>
      </c>
      <c r="E176" t="s">
        <v>4634</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4635</v>
      </c>
      <c r="AL176" s="377">
        <v>2</v>
      </c>
      <c r="AM176" s="377">
        <v>2</v>
      </c>
      <c r="AN176" s="377">
        <v>1</v>
      </c>
      <c r="AO176" s="377">
        <v>3</v>
      </c>
      <c r="AP176" s="377">
        <v>1</v>
      </c>
    </row>
    <row r="177" spans="1:64" x14ac:dyDescent="0.25">
      <c r="A177" t="s">
        <v>4693</v>
      </c>
      <c r="B177" t="s">
        <v>4083</v>
      </c>
      <c r="C177" t="s">
        <v>2893</v>
      </c>
      <c r="D177" t="s">
        <v>95</v>
      </c>
      <c r="E177" t="s">
        <v>4634</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4740</v>
      </c>
      <c r="AL177" s="377">
        <v>2</v>
      </c>
      <c r="AM177" s="377">
        <v>2</v>
      </c>
      <c r="AN177" s="377">
        <v>1</v>
      </c>
      <c r="AO177" s="377">
        <v>3</v>
      </c>
      <c r="AP177" s="377">
        <v>1</v>
      </c>
      <c r="AT177" s="28" t="s">
        <v>2803</v>
      </c>
    </row>
    <row r="178" spans="1:64" x14ac:dyDescent="0.25">
      <c r="A178" t="s">
        <v>4756</v>
      </c>
      <c r="B178" t="s">
        <v>4761</v>
      </c>
      <c r="C178" t="s">
        <v>2038</v>
      </c>
      <c r="D178" t="s">
        <v>95</v>
      </c>
      <c r="G178" s="52" t="s">
        <v>4774</v>
      </c>
      <c r="AC178" s="245">
        <v>1</v>
      </c>
      <c r="AD178" s="59"/>
      <c r="AE178" s="59"/>
      <c r="AF178" s="59"/>
      <c r="AG178" s="59"/>
      <c r="AH178" s="59"/>
      <c r="AI178" s="59"/>
      <c r="AK178" s="54" t="s">
        <v>4760</v>
      </c>
      <c r="AT178" t="s">
        <v>1497</v>
      </c>
      <c r="AU178">
        <v>2020</v>
      </c>
      <c r="AV178">
        <v>2023</v>
      </c>
      <c r="AW178">
        <v>2025</v>
      </c>
      <c r="AX178">
        <v>2030</v>
      </c>
      <c r="AY178">
        <v>2035</v>
      </c>
      <c r="AZ178">
        <v>2040</v>
      </c>
      <c r="BA178">
        <v>2045</v>
      </c>
      <c r="BB178">
        <v>2050</v>
      </c>
    </row>
    <row r="179" spans="1:64" x14ac:dyDescent="0.25">
      <c r="A179" t="s">
        <v>4757</v>
      </c>
      <c r="B179" t="s">
        <v>4762</v>
      </c>
      <c r="C179" t="s">
        <v>2039</v>
      </c>
      <c r="D179" t="s">
        <v>95</v>
      </c>
      <c r="G179" s="52" t="s">
        <v>4774</v>
      </c>
      <c r="AC179" s="245">
        <v>1</v>
      </c>
      <c r="AD179" s="59"/>
      <c r="AE179" s="59"/>
      <c r="AF179" s="59"/>
      <c r="AG179" s="59"/>
      <c r="AH179" s="59"/>
      <c r="AI179" s="59"/>
      <c r="AK179" s="54" t="s">
        <v>4760</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4758</v>
      </c>
      <c r="B180" t="s">
        <v>4763</v>
      </c>
      <c r="C180" t="s">
        <v>2040</v>
      </c>
      <c r="D180" t="s">
        <v>95</v>
      </c>
      <c r="G180" s="52" t="s">
        <v>4775</v>
      </c>
      <c r="AC180" s="245">
        <v>1</v>
      </c>
      <c r="AD180" s="59"/>
      <c r="AE180" s="59"/>
      <c r="AF180" s="59"/>
      <c r="AG180" s="59"/>
      <c r="AH180" s="59"/>
      <c r="AI180" s="59"/>
      <c r="AK180" s="54" t="s">
        <v>4760</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4759</v>
      </c>
      <c r="B181" t="s">
        <v>4764</v>
      </c>
      <c r="C181" t="s">
        <v>2043</v>
      </c>
      <c r="D181" t="s">
        <v>95</v>
      </c>
      <c r="G181" s="52" t="s">
        <v>4774</v>
      </c>
      <c r="AC181" s="245">
        <v>1</v>
      </c>
      <c r="AK181" s="54" t="s">
        <v>4760</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2802</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workbookViewId="0">
      <selection activeCell="E18" sqref="E18"/>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1" t="s">
        <v>2613</v>
      </c>
      <c r="G1" s="730"/>
    </row>
    <row r="2" spans="1:7" ht="93.95" customHeight="1" thickBot="1" x14ac:dyDescent="0.3">
      <c r="A2" s="722" t="s">
        <v>92</v>
      </c>
      <c r="B2" s="727" t="s">
        <v>93</v>
      </c>
      <c r="C2" s="722" t="s">
        <v>999</v>
      </c>
      <c r="D2" s="723" t="s">
        <v>1000</v>
      </c>
      <c r="E2" s="722" t="s">
        <v>1001</v>
      </c>
      <c r="F2" s="1042"/>
      <c r="G2" s="723" t="s">
        <v>91</v>
      </c>
    </row>
    <row r="3" spans="1:7" ht="15.75" thickTop="1" x14ac:dyDescent="0.25">
      <c r="A3" t="s">
        <v>4432</v>
      </c>
      <c r="B3" s="72" t="s">
        <v>95</v>
      </c>
      <c r="C3" t="s">
        <v>944</v>
      </c>
      <c r="D3" s="52" t="s">
        <v>145</v>
      </c>
      <c r="E3" s="80">
        <f>50*6500*4*1000/1000000000</f>
        <v>1.3</v>
      </c>
      <c r="F3" s="1114">
        <f>(E3*'Background Data'!V11)/('Background Data'!V22/1000)</f>
        <v>49.065772839810492</v>
      </c>
      <c r="G3" s="52" t="s">
        <v>4325</v>
      </c>
    </row>
    <row r="4" spans="1:7" x14ac:dyDescent="0.25">
      <c r="A4" t="s">
        <v>4433</v>
      </c>
      <c r="B4" s="72" t="s">
        <v>95</v>
      </c>
      <c r="C4" t="s">
        <v>944</v>
      </c>
      <c r="D4" s="52" t="s">
        <v>145</v>
      </c>
      <c r="E4" s="80">
        <f>50*6500*4*1000/1000000000</f>
        <v>1.3</v>
      </c>
      <c r="F4" s="1112"/>
      <c r="G4" s="52" t="s">
        <v>4325</v>
      </c>
    </row>
    <row r="5" spans="1:7" x14ac:dyDescent="0.25">
      <c r="A5" t="s">
        <v>4434</v>
      </c>
      <c r="B5" s="72" t="s">
        <v>95</v>
      </c>
      <c r="C5" t="s">
        <v>944</v>
      </c>
      <c r="D5" s="52" t="s">
        <v>145</v>
      </c>
      <c r="E5" s="80">
        <f>50*6500*4*1000/1000000000</f>
        <v>1.3</v>
      </c>
      <c r="F5" s="1112"/>
      <c r="G5" s="52" t="s">
        <v>4325</v>
      </c>
    </row>
    <row r="6" spans="1:7" x14ac:dyDescent="0.25">
      <c r="A6" t="s">
        <v>4435</v>
      </c>
      <c r="B6" s="72" t="s">
        <v>95</v>
      </c>
      <c r="C6" t="s">
        <v>944</v>
      </c>
      <c r="D6" s="52" t="s">
        <v>145</v>
      </c>
      <c r="E6" s="80">
        <f>50*6500*4*1000/1000000000</f>
        <v>1.3</v>
      </c>
      <c r="F6" s="1112"/>
      <c r="G6" s="52" t="s">
        <v>4325</v>
      </c>
    </row>
    <row r="7" spans="1:7" x14ac:dyDescent="0.25">
      <c r="A7" t="s">
        <v>4436</v>
      </c>
      <c r="B7" s="72" t="s">
        <v>95</v>
      </c>
      <c r="C7" t="s">
        <v>944</v>
      </c>
      <c r="D7" s="52" t="s">
        <v>145</v>
      </c>
      <c r="E7" s="80">
        <f>50*6500*4*1000/1000000000</f>
        <v>1.3</v>
      </c>
      <c r="F7" s="1112"/>
      <c r="G7" s="52" t="s">
        <v>4325</v>
      </c>
    </row>
    <row r="8" spans="1:7" x14ac:dyDescent="0.25">
      <c r="A8" t="s">
        <v>4437</v>
      </c>
      <c r="B8" s="72" t="s">
        <v>95</v>
      </c>
      <c r="C8" t="s">
        <v>944</v>
      </c>
      <c r="D8" s="52" t="s">
        <v>145</v>
      </c>
      <c r="E8" s="80">
        <f>50*6500*5*1000/1000000000</f>
        <v>1.625</v>
      </c>
      <c r="F8" s="1112">
        <f>(E8*'Background Data'!V12)/('Background Data'!V23/1000)</f>
        <v>54.088637478246731</v>
      </c>
      <c r="G8" s="52" t="s">
        <v>4326</v>
      </c>
    </row>
    <row r="9" spans="1:7" x14ac:dyDescent="0.25">
      <c r="A9" t="s">
        <v>4438</v>
      </c>
      <c r="B9" s="72" t="s">
        <v>95</v>
      </c>
      <c r="C9" t="s">
        <v>944</v>
      </c>
      <c r="D9" s="52" t="s">
        <v>145</v>
      </c>
      <c r="E9" s="80">
        <f>50*6500*5*1000/1000000000</f>
        <v>1.625</v>
      </c>
      <c r="F9" s="1112"/>
      <c r="G9" s="52" t="s">
        <v>4326</v>
      </c>
    </row>
    <row r="10" spans="1:7" ht="15" customHeight="1" x14ac:dyDescent="0.25">
      <c r="A10" t="s">
        <v>4439</v>
      </c>
      <c r="B10" s="72" t="s">
        <v>95</v>
      </c>
      <c r="C10" t="s">
        <v>944</v>
      </c>
      <c r="D10" s="52" t="s">
        <v>145</v>
      </c>
      <c r="E10" s="80">
        <f>50*6500*5*1000/1000000000</f>
        <v>1.625</v>
      </c>
      <c r="F10" s="1112"/>
      <c r="G10" s="52" t="s">
        <v>4326</v>
      </c>
    </row>
    <row r="11" spans="1:7" x14ac:dyDescent="0.25">
      <c r="A11" t="s">
        <v>4440</v>
      </c>
      <c r="B11" s="72" t="s">
        <v>95</v>
      </c>
      <c r="C11" t="s">
        <v>944</v>
      </c>
      <c r="D11" s="52" t="s">
        <v>145</v>
      </c>
      <c r="E11" s="80">
        <f>50*6500*5*1000/1000000000</f>
        <v>1.625</v>
      </c>
      <c r="F11" s="1112"/>
      <c r="G11" s="52" t="s">
        <v>4326</v>
      </c>
    </row>
    <row r="12" spans="1:7" x14ac:dyDescent="0.25">
      <c r="A12" t="s">
        <v>4441</v>
      </c>
      <c r="B12" s="72" t="s">
        <v>95</v>
      </c>
      <c r="C12" t="s">
        <v>944</v>
      </c>
      <c r="D12" s="52" t="s">
        <v>145</v>
      </c>
      <c r="E12" s="80">
        <f>50*6500*5*1000/1000000000</f>
        <v>1.625</v>
      </c>
      <c r="F12" s="1113"/>
      <c r="G12" s="52" t="s">
        <v>4326</v>
      </c>
    </row>
    <row r="13" spans="1:7" s="234" customFormat="1" x14ac:dyDescent="0.25">
      <c r="A13" s="234" t="s">
        <v>4442</v>
      </c>
      <c r="B13" s="331" t="s">
        <v>95</v>
      </c>
      <c r="C13" s="234" t="s">
        <v>944</v>
      </c>
      <c r="D13" s="235" t="s">
        <v>146</v>
      </c>
      <c r="E13" s="236">
        <f>50*6500*1000/1000000000</f>
        <v>0.32500000000000001</v>
      </c>
      <c r="F13" s="1115">
        <f>(E13*'Background Data'!V13)/('Background Data'!V24/1000)</f>
        <v>28.024809488292913</v>
      </c>
      <c r="G13" s="239" t="s">
        <v>4327</v>
      </c>
    </row>
    <row r="14" spans="1:7" x14ac:dyDescent="0.25">
      <c r="A14" t="s">
        <v>4443</v>
      </c>
      <c r="B14" s="72" t="s">
        <v>95</v>
      </c>
      <c r="C14" t="s">
        <v>944</v>
      </c>
      <c r="D14" t="s">
        <v>146</v>
      </c>
      <c r="E14" s="237">
        <f>50*6500*1000/1000000000</f>
        <v>0.32500000000000001</v>
      </c>
      <c r="F14" s="1116"/>
      <c r="G14" s="54" t="s">
        <v>4327</v>
      </c>
    </row>
    <row r="15" spans="1:7" x14ac:dyDescent="0.25">
      <c r="A15" t="s">
        <v>4444</v>
      </c>
      <c r="B15" s="72" t="s">
        <v>95</v>
      </c>
      <c r="C15" t="s">
        <v>944</v>
      </c>
      <c r="D15" t="s">
        <v>146</v>
      </c>
      <c r="E15" s="237">
        <f>50*6500*1000/1000000000</f>
        <v>0.32500000000000001</v>
      </c>
      <c r="F15" s="1116"/>
      <c r="G15" s="54" t="s">
        <v>4327</v>
      </c>
    </row>
    <row r="16" spans="1:7" x14ac:dyDescent="0.25">
      <c r="A16" t="s">
        <v>4445</v>
      </c>
      <c r="B16" s="72" t="s">
        <v>95</v>
      </c>
      <c r="C16" t="s">
        <v>944</v>
      </c>
      <c r="D16" s="52" t="s">
        <v>146</v>
      </c>
      <c r="E16" s="237">
        <f>50*6500*1000/1000000000</f>
        <v>0.32500000000000001</v>
      </c>
      <c r="F16" s="1112"/>
      <c r="G16" s="54" t="s">
        <v>4327</v>
      </c>
    </row>
    <row r="17" spans="1:7" x14ac:dyDescent="0.25">
      <c r="A17" t="s">
        <v>4446</v>
      </c>
      <c r="B17" s="72" t="s">
        <v>95</v>
      </c>
      <c r="C17" t="s">
        <v>944</v>
      </c>
      <c r="D17" s="52" t="s">
        <v>146</v>
      </c>
      <c r="E17" s="237">
        <f>50*6500*3*1000/1000000000</f>
        <v>0.97499999999999998</v>
      </c>
      <c r="F17" s="1112">
        <f>(E17*'Background Data'!V14)/('Background Data'!V25/1000)</f>
        <v>36.54432724178583</v>
      </c>
      <c r="G17" s="54" t="s">
        <v>4795</v>
      </c>
    </row>
    <row r="18" spans="1:7" x14ac:dyDescent="0.25">
      <c r="A18" t="s">
        <v>4447</v>
      </c>
      <c r="B18" s="72" t="s">
        <v>95</v>
      </c>
      <c r="C18" t="s">
        <v>944</v>
      </c>
      <c r="D18" s="52" t="s">
        <v>146</v>
      </c>
      <c r="E18" s="237">
        <f>50*6500*3*1000/1000000000</f>
        <v>0.97499999999999998</v>
      </c>
      <c r="F18" s="1112"/>
      <c r="G18" s="54" t="s">
        <v>4328</v>
      </c>
    </row>
    <row r="19" spans="1:7" s="202" customFormat="1" x14ac:dyDescent="0.25">
      <c r="A19" s="202" t="s">
        <v>4448</v>
      </c>
      <c r="B19" s="332" t="s">
        <v>95</v>
      </c>
      <c r="C19" s="202" t="s">
        <v>944</v>
      </c>
      <c r="D19" s="203" t="s">
        <v>146</v>
      </c>
      <c r="E19" s="238">
        <f>50*6500*10*1000/1000000000</f>
        <v>3.25</v>
      </c>
      <c r="F19" s="257">
        <f>(E19*'Background Data'!V15)/('Background Data'!V26/1000)</f>
        <v>4.7096170183554769</v>
      </c>
      <c r="G19" s="240" t="s">
        <v>4329</v>
      </c>
    </row>
    <row r="20" spans="1:7" x14ac:dyDescent="0.25">
      <c r="A20" t="s">
        <v>4449</v>
      </c>
      <c r="B20" s="72" t="s">
        <v>95</v>
      </c>
      <c r="C20" t="s">
        <v>944</v>
      </c>
      <c r="D20" s="52" t="s">
        <v>145</v>
      </c>
      <c r="E20" s="80">
        <f>50*6500*2*1000/1000000000</f>
        <v>0.65</v>
      </c>
      <c r="F20" s="258">
        <f>(E20*'Background Data'!V16)/('Background Data'!V27/1000)</f>
        <v>118.65729997623035</v>
      </c>
      <c r="G20" s="52" t="s">
        <v>4330</v>
      </c>
    </row>
    <row r="21" spans="1:7" x14ac:dyDescent="0.25">
      <c r="A21" t="s">
        <v>4450</v>
      </c>
      <c r="B21" s="72" t="s">
        <v>95</v>
      </c>
      <c r="C21" t="s">
        <v>944</v>
      </c>
      <c r="D21" s="52" t="s">
        <v>145</v>
      </c>
      <c r="E21" s="80">
        <f t="shared" ref="E21:E29" si="0">50*6500*50*1000/1000000000</f>
        <v>16.25</v>
      </c>
      <c r="F21" s="1112">
        <f>(E21*'Background Data'!V17)/('Background Data'!V28/1000)</f>
        <v>29.732197461542675</v>
      </c>
      <c r="G21" s="52" t="s">
        <v>4331</v>
      </c>
    </row>
    <row r="22" spans="1:7" x14ac:dyDescent="0.25">
      <c r="A22" t="s">
        <v>4451</v>
      </c>
      <c r="B22" s="72" t="s">
        <v>95</v>
      </c>
      <c r="C22" t="s">
        <v>944</v>
      </c>
      <c r="D22" s="52" t="s">
        <v>145</v>
      </c>
      <c r="E22" s="80">
        <f t="shared" si="0"/>
        <v>16.25</v>
      </c>
      <c r="F22" s="1112"/>
      <c r="G22" s="52" t="s">
        <v>4331</v>
      </c>
    </row>
    <row r="23" spans="1:7" x14ac:dyDescent="0.25">
      <c r="A23" t="s">
        <v>4452</v>
      </c>
      <c r="B23" s="72" t="s">
        <v>95</v>
      </c>
      <c r="C23" t="s">
        <v>944</v>
      </c>
      <c r="D23" s="52" t="s">
        <v>145</v>
      </c>
      <c r="E23" s="80">
        <f t="shared" si="0"/>
        <v>16.25</v>
      </c>
      <c r="F23" s="1112"/>
      <c r="G23" s="52" t="s">
        <v>4331</v>
      </c>
    </row>
    <row r="24" spans="1:7" x14ac:dyDescent="0.25">
      <c r="A24" t="s">
        <v>4453</v>
      </c>
      <c r="B24" s="72" t="s">
        <v>95</v>
      </c>
      <c r="C24" t="s">
        <v>944</v>
      </c>
      <c r="D24" s="52" t="s">
        <v>145</v>
      </c>
      <c r="E24" s="80">
        <f t="shared" si="0"/>
        <v>16.25</v>
      </c>
      <c r="F24" s="1112">
        <f>(E24*'Background Data'!V18)/('Background Data'!V29/1000)</f>
        <v>23.462807172724084</v>
      </c>
      <c r="G24" s="52" t="s">
        <v>4331</v>
      </c>
    </row>
    <row r="25" spans="1:7" ht="14.45" customHeight="1" x14ac:dyDescent="0.25">
      <c r="A25" t="s">
        <v>4454</v>
      </c>
      <c r="B25" s="72" t="s">
        <v>95</v>
      </c>
      <c r="C25" t="s">
        <v>944</v>
      </c>
      <c r="D25" s="52" t="s">
        <v>145</v>
      </c>
      <c r="E25" s="80">
        <f t="shared" si="0"/>
        <v>16.25</v>
      </c>
      <c r="F25" s="1112"/>
      <c r="G25" s="52" t="s">
        <v>4331</v>
      </c>
    </row>
    <row r="26" spans="1:7" x14ac:dyDescent="0.25">
      <c r="A26" t="s">
        <v>4455</v>
      </c>
      <c r="B26" s="72" t="s">
        <v>95</v>
      </c>
      <c r="C26" t="s">
        <v>944</v>
      </c>
      <c r="D26" s="52" t="s">
        <v>145</v>
      </c>
      <c r="E26" s="80">
        <f t="shared" si="0"/>
        <v>16.25</v>
      </c>
      <c r="F26" s="1112"/>
      <c r="G26" s="52" t="s">
        <v>4331</v>
      </c>
    </row>
    <row r="27" spans="1:7" x14ac:dyDescent="0.25">
      <c r="A27" t="s">
        <v>4456</v>
      </c>
      <c r="B27" s="72" t="s">
        <v>95</v>
      </c>
      <c r="C27" t="s">
        <v>944</v>
      </c>
      <c r="D27" s="52" t="s">
        <v>145</v>
      </c>
      <c r="E27" s="80">
        <f t="shared" si="0"/>
        <v>16.25</v>
      </c>
      <c r="F27" s="1112"/>
      <c r="G27" s="52" t="s">
        <v>4331</v>
      </c>
    </row>
    <row r="28" spans="1:7" x14ac:dyDescent="0.25">
      <c r="A28" t="s">
        <v>4457</v>
      </c>
      <c r="B28" s="72" t="s">
        <v>95</v>
      </c>
      <c r="C28" t="s">
        <v>944</v>
      </c>
      <c r="D28" s="52" t="s">
        <v>145</v>
      </c>
      <c r="E28" s="80">
        <f t="shared" si="0"/>
        <v>16.25</v>
      </c>
      <c r="F28" s="1112">
        <f>(E28*'Background Data'!V19)/('Background Data'!V30/1000)</f>
        <v>19.556303926581954</v>
      </c>
      <c r="G28" s="52" t="s">
        <v>4331</v>
      </c>
    </row>
    <row r="29" spans="1:7" x14ac:dyDescent="0.25">
      <c r="A29" s="202" t="s">
        <v>4458</v>
      </c>
      <c r="B29" s="332" t="s">
        <v>95</v>
      </c>
      <c r="C29" s="202" t="s">
        <v>944</v>
      </c>
      <c r="D29" s="203" t="s">
        <v>145</v>
      </c>
      <c r="E29" s="303">
        <f t="shared" si="0"/>
        <v>16.25</v>
      </c>
      <c r="F29" s="1113"/>
      <c r="G29" s="203" t="s">
        <v>4331</v>
      </c>
    </row>
    <row r="30" spans="1:7" x14ac:dyDescent="0.25">
      <c r="A30" t="s">
        <v>1004</v>
      </c>
      <c r="B30" s="72" t="s">
        <v>95</v>
      </c>
      <c r="C30" t="s">
        <v>944</v>
      </c>
      <c r="D30" s="52" t="s">
        <v>145</v>
      </c>
      <c r="E30" s="80">
        <f t="shared" ref="E30:E40" si="1">50*6500*4*1000/1000000000</f>
        <v>1.3</v>
      </c>
      <c r="F30" s="242"/>
      <c r="G30" s="52" t="s">
        <v>4325</v>
      </c>
    </row>
    <row r="31" spans="1:7" x14ac:dyDescent="0.25">
      <c r="A31" t="s">
        <v>1005</v>
      </c>
      <c r="B31" s="72" t="s">
        <v>95</v>
      </c>
      <c r="C31" t="s">
        <v>944</v>
      </c>
      <c r="D31" s="52" t="s">
        <v>145</v>
      </c>
      <c r="E31" s="80">
        <f t="shared" si="1"/>
        <v>1.3</v>
      </c>
      <c r="F31" s="242"/>
      <c r="G31" s="52" t="s">
        <v>4325</v>
      </c>
    </row>
    <row r="32" spans="1:7" x14ac:dyDescent="0.25">
      <c r="A32" t="s">
        <v>1006</v>
      </c>
      <c r="B32" s="72" t="s">
        <v>95</v>
      </c>
      <c r="C32" t="s">
        <v>944</v>
      </c>
      <c r="D32" s="52" t="s">
        <v>145</v>
      </c>
      <c r="E32" s="80">
        <f t="shared" si="1"/>
        <v>1.3</v>
      </c>
      <c r="G32" s="52" t="s">
        <v>4325</v>
      </c>
    </row>
    <row r="33" spans="1:7" x14ac:dyDescent="0.25">
      <c r="A33" t="s">
        <v>1007</v>
      </c>
      <c r="B33" s="72" t="s">
        <v>95</v>
      </c>
      <c r="C33" t="s">
        <v>944</v>
      </c>
      <c r="D33" s="52" t="s">
        <v>145</v>
      </c>
      <c r="E33" s="80">
        <f t="shared" si="1"/>
        <v>1.3</v>
      </c>
      <c r="G33" s="52" t="s">
        <v>4325</v>
      </c>
    </row>
    <row r="34" spans="1:7" x14ac:dyDescent="0.25">
      <c r="A34" t="s">
        <v>4390</v>
      </c>
      <c r="B34" s="72" t="s">
        <v>95</v>
      </c>
      <c r="C34" t="s">
        <v>944</v>
      </c>
      <c r="D34" s="52" t="s">
        <v>145</v>
      </c>
      <c r="E34" s="80">
        <f t="shared" si="1"/>
        <v>1.3</v>
      </c>
      <c r="G34" s="52" t="s">
        <v>4325</v>
      </c>
    </row>
    <row r="35" spans="1:7" x14ac:dyDescent="0.25">
      <c r="A35" t="s">
        <v>1009</v>
      </c>
      <c r="B35" s="72" t="s">
        <v>95</v>
      </c>
      <c r="C35" t="s">
        <v>944</v>
      </c>
      <c r="D35" s="52" t="s">
        <v>145</v>
      </c>
      <c r="E35" s="80">
        <f t="shared" si="1"/>
        <v>1.3</v>
      </c>
      <c r="G35" s="52" t="s">
        <v>4325</v>
      </c>
    </row>
    <row r="36" spans="1:7" ht="15" customHeight="1" x14ac:dyDescent="0.25">
      <c r="A36" t="s">
        <v>4395</v>
      </c>
      <c r="B36" s="72" t="s">
        <v>95</v>
      </c>
      <c r="C36" t="s">
        <v>944</v>
      </c>
      <c r="D36" s="52" t="s">
        <v>145</v>
      </c>
      <c r="E36" s="80">
        <f t="shared" si="1"/>
        <v>1.3</v>
      </c>
      <c r="G36" s="52" t="s">
        <v>4325</v>
      </c>
    </row>
    <row r="37" spans="1:7" x14ac:dyDescent="0.25">
      <c r="A37" t="s">
        <v>1010</v>
      </c>
      <c r="B37" s="72" t="s">
        <v>95</v>
      </c>
      <c r="C37" t="s">
        <v>944</v>
      </c>
      <c r="D37" s="52" t="s">
        <v>145</v>
      </c>
      <c r="E37" s="80">
        <f t="shared" si="1"/>
        <v>1.3</v>
      </c>
      <c r="G37" s="52" t="s">
        <v>4325</v>
      </c>
    </row>
    <row r="38" spans="1:7" x14ac:dyDescent="0.25">
      <c r="A38" t="s">
        <v>1011</v>
      </c>
      <c r="B38" s="72" t="s">
        <v>95</v>
      </c>
      <c r="C38" t="s">
        <v>944</v>
      </c>
      <c r="D38" s="52" t="s">
        <v>145</v>
      </c>
      <c r="E38" s="80">
        <f t="shared" si="1"/>
        <v>1.3</v>
      </c>
      <c r="G38" s="52" t="s">
        <v>4325</v>
      </c>
    </row>
    <row r="39" spans="1:7" x14ac:dyDescent="0.25">
      <c r="A39" t="s">
        <v>1012</v>
      </c>
      <c r="B39" s="72" t="s">
        <v>95</v>
      </c>
      <c r="C39" t="s">
        <v>944</v>
      </c>
      <c r="D39" s="52" t="s">
        <v>145</v>
      </c>
      <c r="E39" s="80">
        <f t="shared" si="1"/>
        <v>1.3</v>
      </c>
      <c r="G39" s="52" t="s">
        <v>4325</v>
      </c>
    </row>
    <row r="40" spans="1:7" s="202" customFormat="1" x14ac:dyDescent="0.25">
      <c r="A40" s="202" t="s">
        <v>4420</v>
      </c>
      <c r="B40" s="332" t="s">
        <v>95</v>
      </c>
      <c r="C40" s="202" t="s">
        <v>944</v>
      </c>
      <c r="D40" s="203" t="s">
        <v>145</v>
      </c>
      <c r="E40" s="303">
        <f t="shared" si="1"/>
        <v>1.3</v>
      </c>
      <c r="F40" s="910"/>
      <c r="G40" s="203" t="s">
        <v>4325</v>
      </c>
    </row>
    <row r="41" spans="1:7" x14ac:dyDescent="0.25">
      <c r="A41" t="s">
        <v>1014</v>
      </c>
      <c r="B41" s="72" t="s">
        <v>95</v>
      </c>
      <c r="C41" t="s">
        <v>944</v>
      </c>
      <c r="D41" s="52" t="s">
        <v>145</v>
      </c>
      <c r="E41" s="80">
        <f t="shared" ref="E41:E51" si="2">50*6500*5*1000/1000000000</f>
        <v>1.625</v>
      </c>
      <c r="G41" s="52" t="s">
        <v>4326</v>
      </c>
    </row>
    <row r="42" spans="1:7" x14ac:dyDescent="0.25">
      <c r="A42" t="s">
        <v>1015</v>
      </c>
      <c r="B42" s="72" t="s">
        <v>95</v>
      </c>
      <c r="C42" t="s">
        <v>944</v>
      </c>
      <c r="D42" s="52" t="s">
        <v>145</v>
      </c>
      <c r="E42" s="80">
        <f t="shared" si="2"/>
        <v>1.625</v>
      </c>
      <c r="G42" s="52" t="s">
        <v>4326</v>
      </c>
    </row>
    <row r="43" spans="1:7" x14ac:dyDescent="0.25">
      <c r="A43" t="s">
        <v>1016</v>
      </c>
      <c r="B43" s="72" t="s">
        <v>95</v>
      </c>
      <c r="C43" t="s">
        <v>944</v>
      </c>
      <c r="D43" s="52" t="s">
        <v>145</v>
      </c>
      <c r="E43" s="80">
        <f t="shared" si="2"/>
        <v>1.625</v>
      </c>
      <c r="G43" s="52" t="s">
        <v>4326</v>
      </c>
    </row>
    <row r="44" spans="1:7" x14ac:dyDescent="0.25">
      <c r="A44" t="s">
        <v>1017</v>
      </c>
      <c r="B44" s="72" t="s">
        <v>95</v>
      </c>
      <c r="C44" t="s">
        <v>944</v>
      </c>
      <c r="D44" s="52" t="s">
        <v>145</v>
      </c>
      <c r="E44" s="80">
        <f t="shared" si="2"/>
        <v>1.625</v>
      </c>
      <c r="G44" s="52" t="s">
        <v>4326</v>
      </c>
    </row>
    <row r="45" spans="1:7" x14ac:dyDescent="0.25">
      <c r="A45" t="s">
        <v>4391</v>
      </c>
      <c r="B45" s="72" t="s">
        <v>95</v>
      </c>
      <c r="C45" t="s">
        <v>944</v>
      </c>
      <c r="D45" s="52" t="s">
        <v>145</v>
      </c>
      <c r="E45" s="80">
        <f t="shared" si="2"/>
        <v>1.625</v>
      </c>
      <c r="G45" s="52" t="s">
        <v>4326</v>
      </c>
    </row>
    <row r="46" spans="1:7" x14ac:dyDescent="0.25">
      <c r="A46" t="s">
        <v>1019</v>
      </c>
      <c r="B46" s="72" t="s">
        <v>95</v>
      </c>
      <c r="C46" t="s">
        <v>944</v>
      </c>
      <c r="D46" s="52" t="s">
        <v>145</v>
      </c>
      <c r="E46" s="80">
        <f t="shared" si="2"/>
        <v>1.625</v>
      </c>
      <c r="G46" s="52" t="s">
        <v>4326</v>
      </c>
    </row>
    <row r="47" spans="1:7" x14ac:dyDescent="0.25">
      <c r="A47" t="s">
        <v>4396</v>
      </c>
      <c r="B47" s="72" t="s">
        <v>95</v>
      </c>
      <c r="C47" t="s">
        <v>944</v>
      </c>
      <c r="D47" s="52" t="s">
        <v>145</v>
      </c>
      <c r="E47" s="80">
        <f t="shared" si="2"/>
        <v>1.625</v>
      </c>
      <c r="G47" s="52" t="s">
        <v>4326</v>
      </c>
    </row>
    <row r="48" spans="1:7" x14ac:dyDescent="0.25">
      <c r="A48" t="s">
        <v>1020</v>
      </c>
      <c r="B48" s="72" t="s">
        <v>95</v>
      </c>
      <c r="C48" t="s">
        <v>944</v>
      </c>
      <c r="D48" s="52" t="s">
        <v>145</v>
      </c>
      <c r="E48" s="80">
        <f t="shared" si="2"/>
        <v>1.625</v>
      </c>
      <c r="G48" s="52" t="s">
        <v>4326</v>
      </c>
    </row>
    <row r="49" spans="1:7" x14ac:dyDescent="0.25">
      <c r="A49" t="s">
        <v>1021</v>
      </c>
      <c r="B49" s="72" t="s">
        <v>95</v>
      </c>
      <c r="C49" t="s">
        <v>944</v>
      </c>
      <c r="D49" s="52" t="s">
        <v>145</v>
      </c>
      <c r="E49" s="80">
        <f t="shared" si="2"/>
        <v>1.625</v>
      </c>
      <c r="G49" s="52" t="s">
        <v>4326</v>
      </c>
    </row>
    <row r="50" spans="1:7" x14ac:dyDescent="0.25">
      <c r="A50" t="s">
        <v>1022</v>
      </c>
      <c r="B50" s="72" t="s">
        <v>95</v>
      </c>
      <c r="C50" t="s">
        <v>944</v>
      </c>
      <c r="D50" s="52" t="s">
        <v>145</v>
      </c>
      <c r="E50" s="80">
        <f t="shared" si="2"/>
        <v>1.625</v>
      </c>
      <c r="G50" s="52" t="s">
        <v>4326</v>
      </c>
    </row>
    <row r="51" spans="1:7" s="202" customFormat="1" x14ac:dyDescent="0.25">
      <c r="A51" s="202" t="s">
        <v>4421</v>
      </c>
      <c r="B51" s="332" t="s">
        <v>95</v>
      </c>
      <c r="C51" s="202" t="s">
        <v>944</v>
      </c>
      <c r="D51" s="203" t="s">
        <v>145</v>
      </c>
      <c r="E51" s="303">
        <f t="shared" si="2"/>
        <v>1.625</v>
      </c>
      <c r="F51" s="910"/>
      <c r="G51" s="203" t="s">
        <v>4326</v>
      </c>
    </row>
    <row r="52" spans="1:7" x14ac:dyDescent="0.25">
      <c r="A52" t="s">
        <v>1033</v>
      </c>
      <c r="B52" s="72" t="s">
        <v>95</v>
      </c>
      <c r="C52" t="s">
        <v>944</v>
      </c>
      <c r="D52" t="s">
        <v>146</v>
      </c>
      <c r="E52" s="237">
        <f t="shared" ref="E52:E62" si="3">50*6500*1000/1000000000</f>
        <v>0.32500000000000001</v>
      </c>
      <c r="G52" s="54" t="s">
        <v>4327</v>
      </c>
    </row>
    <row r="53" spans="1:7" x14ac:dyDescent="0.25">
      <c r="A53" t="s">
        <v>1034</v>
      </c>
      <c r="B53" s="72" t="s">
        <v>95</v>
      </c>
      <c r="C53" t="s">
        <v>944</v>
      </c>
      <c r="D53" t="s">
        <v>146</v>
      </c>
      <c r="E53" s="237">
        <f t="shared" si="3"/>
        <v>0.32500000000000001</v>
      </c>
      <c r="G53" s="54" t="s">
        <v>4327</v>
      </c>
    </row>
    <row r="54" spans="1:7" x14ac:dyDescent="0.25">
      <c r="A54" t="s">
        <v>1035</v>
      </c>
      <c r="B54" s="72" t="s">
        <v>95</v>
      </c>
      <c r="C54" t="s">
        <v>944</v>
      </c>
      <c r="D54" t="s">
        <v>146</v>
      </c>
      <c r="E54" s="237">
        <f t="shared" si="3"/>
        <v>0.32500000000000001</v>
      </c>
      <c r="G54" s="54" t="s">
        <v>4327</v>
      </c>
    </row>
    <row r="55" spans="1:7" x14ac:dyDescent="0.25">
      <c r="A55" t="s">
        <v>1036</v>
      </c>
      <c r="B55" s="72" t="s">
        <v>95</v>
      </c>
      <c r="C55" t="s">
        <v>944</v>
      </c>
      <c r="D55" t="s">
        <v>146</v>
      </c>
      <c r="E55" s="237">
        <f t="shared" si="3"/>
        <v>0.32500000000000001</v>
      </c>
      <c r="G55" s="54" t="s">
        <v>4327</v>
      </c>
    </row>
    <row r="56" spans="1:7" x14ac:dyDescent="0.25">
      <c r="A56" t="s">
        <v>4392</v>
      </c>
      <c r="B56" s="72" t="s">
        <v>95</v>
      </c>
      <c r="C56" t="s">
        <v>944</v>
      </c>
      <c r="D56" t="s">
        <v>146</v>
      </c>
      <c r="E56" s="237">
        <f t="shared" si="3"/>
        <v>0.32500000000000001</v>
      </c>
      <c r="G56" s="54" t="s">
        <v>4327</v>
      </c>
    </row>
    <row r="57" spans="1:7" x14ac:dyDescent="0.25">
      <c r="A57" t="s">
        <v>1037</v>
      </c>
      <c r="B57" s="72" t="s">
        <v>95</v>
      </c>
      <c r="C57" t="s">
        <v>944</v>
      </c>
      <c r="D57" t="s">
        <v>146</v>
      </c>
      <c r="E57" s="237">
        <f t="shared" si="3"/>
        <v>0.32500000000000001</v>
      </c>
      <c r="G57" s="54" t="s">
        <v>4327</v>
      </c>
    </row>
    <row r="58" spans="1:7" x14ac:dyDescent="0.25">
      <c r="A58" t="s">
        <v>4397</v>
      </c>
      <c r="B58" s="72" t="s">
        <v>95</v>
      </c>
      <c r="C58" t="s">
        <v>944</v>
      </c>
      <c r="D58" t="s">
        <v>146</v>
      </c>
      <c r="E58" s="237">
        <f t="shared" si="3"/>
        <v>0.32500000000000001</v>
      </c>
      <c r="G58" s="54" t="s">
        <v>4327</v>
      </c>
    </row>
    <row r="59" spans="1:7" x14ac:dyDescent="0.25">
      <c r="A59" t="s">
        <v>1038</v>
      </c>
      <c r="B59" s="72" t="s">
        <v>95</v>
      </c>
      <c r="C59" t="s">
        <v>944</v>
      </c>
      <c r="D59" t="s">
        <v>146</v>
      </c>
      <c r="E59" s="237">
        <f t="shared" si="3"/>
        <v>0.32500000000000001</v>
      </c>
      <c r="G59" s="54" t="s">
        <v>4327</v>
      </c>
    </row>
    <row r="60" spans="1:7" x14ac:dyDescent="0.25">
      <c r="A60" t="s">
        <v>1039</v>
      </c>
      <c r="B60" s="72" t="s">
        <v>95</v>
      </c>
      <c r="C60" t="s">
        <v>944</v>
      </c>
      <c r="D60" t="s">
        <v>146</v>
      </c>
      <c r="E60" s="237">
        <f t="shared" si="3"/>
        <v>0.32500000000000001</v>
      </c>
      <c r="G60" s="54" t="s">
        <v>4327</v>
      </c>
    </row>
    <row r="61" spans="1:7" x14ac:dyDescent="0.25">
      <c r="A61" t="s">
        <v>1040</v>
      </c>
      <c r="B61" s="72" t="s">
        <v>95</v>
      </c>
      <c r="C61" t="s">
        <v>944</v>
      </c>
      <c r="D61" t="s">
        <v>146</v>
      </c>
      <c r="E61" s="237">
        <f t="shared" si="3"/>
        <v>0.32500000000000001</v>
      </c>
      <c r="G61" s="54" t="s">
        <v>4327</v>
      </c>
    </row>
    <row r="62" spans="1:7" s="202" customFormat="1" x14ac:dyDescent="0.25">
      <c r="A62" s="202" t="s">
        <v>4422</v>
      </c>
      <c r="B62" s="332" t="s">
        <v>95</v>
      </c>
      <c r="C62" s="202" t="s">
        <v>944</v>
      </c>
      <c r="D62" s="202" t="s">
        <v>146</v>
      </c>
      <c r="E62" s="238">
        <f t="shared" si="3"/>
        <v>0.32500000000000001</v>
      </c>
      <c r="F62" s="910"/>
      <c r="G62" s="240" t="s">
        <v>4327</v>
      </c>
    </row>
    <row r="63" spans="1:7" x14ac:dyDescent="0.25">
      <c r="A63" t="s">
        <v>1024</v>
      </c>
      <c r="B63" s="72" t="s">
        <v>95</v>
      </c>
      <c r="C63" t="s">
        <v>944</v>
      </c>
      <c r="D63" s="52" t="s">
        <v>146</v>
      </c>
      <c r="E63" s="237">
        <f>50*6500*3*1000/1000000000</f>
        <v>0.97499999999999998</v>
      </c>
      <c r="G63" s="54" t="s">
        <v>4795</v>
      </c>
    </row>
    <row r="64" spans="1:7" x14ac:dyDescent="0.25">
      <c r="A64" t="s">
        <v>1041</v>
      </c>
      <c r="B64" s="72" t="s">
        <v>95</v>
      </c>
      <c r="C64" t="s">
        <v>944</v>
      </c>
      <c r="D64" s="52" t="s">
        <v>146</v>
      </c>
      <c r="E64" s="237">
        <f t="shared" ref="E64:E69" si="4">50*6500*3*1000/1000000000</f>
        <v>0.97499999999999998</v>
      </c>
      <c r="G64" s="54" t="s">
        <v>4328</v>
      </c>
    </row>
    <row r="65" spans="1:7" x14ac:dyDescent="0.25">
      <c r="A65" t="s">
        <v>1043</v>
      </c>
      <c r="B65" s="72" t="s">
        <v>95</v>
      </c>
      <c r="C65" t="s">
        <v>944</v>
      </c>
      <c r="D65" s="52" t="s">
        <v>146</v>
      </c>
      <c r="E65" s="237">
        <f t="shared" si="4"/>
        <v>0.97499999999999998</v>
      </c>
      <c r="G65" s="54" t="s">
        <v>4328</v>
      </c>
    </row>
    <row r="66" spans="1:7" x14ac:dyDescent="0.25">
      <c r="A66" t="s">
        <v>1044</v>
      </c>
      <c r="B66" s="72" t="s">
        <v>95</v>
      </c>
      <c r="C66" t="s">
        <v>944</v>
      </c>
      <c r="D66" s="52" t="s">
        <v>146</v>
      </c>
      <c r="E66" s="237">
        <f t="shared" si="4"/>
        <v>0.97499999999999998</v>
      </c>
      <c r="G66" s="54" t="s">
        <v>4328</v>
      </c>
    </row>
    <row r="67" spans="1:7" x14ac:dyDescent="0.25">
      <c r="A67" t="s">
        <v>1071</v>
      </c>
      <c r="B67" s="72" t="s">
        <v>95</v>
      </c>
      <c r="C67" t="s">
        <v>944</v>
      </c>
      <c r="D67" s="52" t="s">
        <v>146</v>
      </c>
      <c r="E67" s="237">
        <f t="shared" si="4"/>
        <v>0.97499999999999998</v>
      </c>
      <c r="G67" s="54" t="s">
        <v>4328</v>
      </c>
    </row>
    <row r="68" spans="1:7" x14ac:dyDescent="0.25">
      <c r="A68" t="s">
        <v>1072</v>
      </c>
      <c r="B68" s="72" t="s">
        <v>95</v>
      </c>
      <c r="C68" t="s">
        <v>944</v>
      </c>
      <c r="D68" s="52" t="s">
        <v>146</v>
      </c>
      <c r="E68" s="237">
        <f t="shared" si="4"/>
        <v>0.97499999999999998</v>
      </c>
      <c r="G68" s="54" t="s">
        <v>4328</v>
      </c>
    </row>
    <row r="69" spans="1:7" s="202" customFormat="1" x14ac:dyDescent="0.25">
      <c r="A69" s="202" t="s">
        <v>1073</v>
      </c>
      <c r="B69" s="332" t="s">
        <v>95</v>
      </c>
      <c r="C69" s="202" t="s">
        <v>944</v>
      </c>
      <c r="D69" s="203" t="s">
        <v>146</v>
      </c>
      <c r="E69" s="238">
        <f t="shared" si="4"/>
        <v>0.97499999999999998</v>
      </c>
      <c r="F69" s="910"/>
      <c r="G69" s="240" t="s">
        <v>4328</v>
      </c>
    </row>
    <row r="70" spans="1:7" x14ac:dyDescent="0.25">
      <c r="A70" t="s">
        <v>1074</v>
      </c>
      <c r="B70" s="72" t="s">
        <v>95</v>
      </c>
      <c r="C70" t="s">
        <v>944</v>
      </c>
      <c r="D70" s="52" t="s">
        <v>146</v>
      </c>
      <c r="E70" s="325">
        <f t="shared" ref="E70:E75" si="5">50*6500*10*1000/1000000000</f>
        <v>3.25</v>
      </c>
      <c r="F70" s="333"/>
      <c r="G70" s="52" t="s">
        <v>4329</v>
      </c>
    </row>
    <row r="71" spans="1:7" x14ac:dyDescent="0.25">
      <c r="A71" t="s">
        <v>1075</v>
      </c>
      <c r="B71" s="72" t="s">
        <v>95</v>
      </c>
      <c r="C71" t="s">
        <v>944</v>
      </c>
      <c r="D71" s="52" t="s">
        <v>146</v>
      </c>
      <c r="E71" s="325">
        <f t="shared" si="5"/>
        <v>3.25</v>
      </c>
      <c r="G71" s="52" t="s">
        <v>4329</v>
      </c>
    </row>
    <row r="72" spans="1:7" x14ac:dyDescent="0.25">
      <c r="A72" t="s">
        <v>1076</v>
      </c>
      <c r="B72" s="72" t="s">
        <v>95</v>
      </c>
      <c r="C72" t="s">
        <v>944</v>
      </c>
      <c r="D72" s="52" t="s">
        <v>146</v>
      </c>
      <c r="E72" s="325">
        <f t="shared" si="5"/>
        <v>3.25</v>
      </c>
      <c r="G72" s="52" t="s">
        <v>4329</v>
      </c>
    </row>
    <row r="73" spans="1:7" x14ac:dyDescent="0.25">
      <c r="A73" t="s">
        <v>1077</v>
      </c>
      <c r="B73" s="72" t="s">
        <v>95</v>
      </c>
      <c r="C73" t="s">
        <v>944</v>
      </c>
      <c r="D73" s="52" t="s">
        <v>146</v>
      </c>
      <c r="E73" s="325">
        <f t="shared" si="5"/>
        <v>3.25</v>
      </c>
      <c r="G73" s="52" t="s">
        <v>4329</v>
      </c>
    </row>
    <row r="74" spans="1:7" x14ac:dyDescent="0.25">
      <c r="A74" t="s">
        <v>1078</v>
      </c>
      <c r="B74" s="72" t="s">
        <v>95</v>
      </c>
      <c r="C74" t="s">
        <v>944</v>
      </c>
      <c r="D74" s="52" t="s">
        <v>146</v>
      </c>
      <c r="E74" s="325">
        <f t="shared" si="5"/>
        <v>3.25</v>
      </c>
      <c r="G74" s="52" t="s">
        <v>4329</v>
      </c>
    </row>
    <row r="75" spans="1:7" s="202" customFormat="1" x14ac:dyDescent="0.25">
      <c r="A75" s="202" t="s">
        <v>1079</v>
      </c>
      <c r="B75" s="332" t="s">
        <v>95</v>
      </c>
      <c r="C75" s="202" t="s">
        <v>944</v>
      </c>
      <c r="D75" s="203" t="s">
        <v>146</v>
      </c>
      <c r="E75" s="911">
        <f t="shared" si="5"/>
        <v>3.25</v>
      </c>
      <c r="F75" s="910"/>
      <c r="G75" s="203" t="s">
        <v>4329</v>
      </c>
    </row>
    <row r="76" spans="1:7" x14ac:dyDescent="0.25">
      <c r="A76" t="s">
        <v>1081</v>
      </c>
      <c r="B76" s="72" t="s">
        <v>95</v>
      </c>
      <c r="C76" t="s">
        <v>944</v>
      </c>
      <c r="D76" s="52" t="s">
        <v>145</v>
      </c>
      <c r="E76" s="325">
        <f>50*6500*2*1000/1000000000</f>
        <v>0.65</v>
      </c>
      <c r="G76" s="52" t="s">
        <v>4330</v>
      </c>
    </row>
    <row r="77" spans="1:7" s="202" customFormat="1" x14ac:dyDescent="0.25">
      <c r="A77" s="202" t="s">
        <v>1082</v>
      </c>
      <c r="B77" s="332" t="s">
        <v>95</v>
      </c>
      <c r="C77" s="202" t="s">
        <v>944</v>
      </c>
      <c r="D77" s="203" t="s">
        <v>145</v>
      </c>
      <c r="E77" s="911">
        <f>50*6500*2*1000/1000000000</f>
        <v>0.65</v>
      </c>
      <c r="F77" s="910"/>
      <c r="G77" s="203" t="s">
        <v>4330</v>
      </c>
    </row>
    <row r="78" spans="1:7" x14ac:dyDescent="0.25">
      <c r="A78" t="s">
        <v>1094</v>
      </c>
      <c r="B78" s="72" t="s">
        <v>95</v>
      </c>
      <c r="C78" t="s">
        <v>944</v>
      </c>
      <c r="D78" s="52" t="s">
        <v>145</v>
      </c>
      <c r="E78" s="80">
        <f t="shared" ref="E78:E98" si="6">50*6500*50*1000/1000000000</f>
        <v>16.25</v>
      </c>
      <c r="G78" s="52" t="s">
        <v>4331</v>
      </c>
    </row>
    <row r="79" spans="1:7" x14ac:dyDescent="0.25">
      <c r="A79" t="s">
        <v>1095</v>
      </c>
      <c r="B79" s="72" t="s">
        <v>95</v>
      </c>
      <c r="C79" t="s">
        <v>944</v>
      </c>
      <c r="D79" s="52" t="s">
        <v>145</v>
      </c>
      <c r="E79" s="80">
        <f t="shared" si="6"/>
        <v>16.25</v>
      </c>
      <c r="G79" s="52" t="s">
        <v>4331</v>
      </c>
    </row>
    <row r="80" spans="1:7" x14ac:dyDescent="0.25">
      <c r="A80" t="s">
        <v>1096</v>
      </c>
      <c r="B80" s="72" t="s">
        <v>95</v>
      </c>
      <c r="C80" t="s">
        <v>944</v>
      </c>
      <c r="D80" s="52" t="s">
        <v>145</v>
      </c>
      <c r="E80" s="80">
        <f t="shared" si="6"/>
        <v>16.25</v>
      </c>
      <c r="G80" s="52" t="s">
        <v>4331</v>
      </c>
    </row>
    <row r="81" spans="1:7" x14ac:dyDescent="0.25">
      <c r="A81" t="s">
        <v>1097</v>
      </c>
      <c r="B81" s="72" t="s">
        <v>95</v>
      </c>
      <c r="C81" t="s">
        <v>944</v>
      </c>
      <c r="D81" s="52" t="s">
        <v>145</v>
      </c>
      <c r="E81" s="80">
        <f t="shared" si="6"/>
        <v>16.25</v>
      </c>
      <c r="G81" s="52" t="s">
        <v>4331</v>
      </c>
    </row>
    <row r="82" spans="1:7" x14ac:dyDescent="0.25">
      <c r="A82" t="s">
        <v>1098</v>
      </c>
      <c r="B82" s="72" t="s">
        <v>95</v>
      </c>
      <c r="C82" t="s">
        <v>944</v>
      </c>
      <c r="D82" s="52" t="s">
        <v>145</v>
      </c>
      <c r="E82" s="80">
        <f t="shared" si="6"/>
        <v>16.25</v>
      </c>
      <c r="G82" s="52" t="s">
        <v>4331</v>
      </c>
    </row>
    <row r="83" spans="1:7" x14ac:dyDescent="0.25">
      <c r="A83" t="s">
        <v>1099</v>
      </c>
      <c r="B83" s="72" t="s">
        <v>95</v>
      </c>
      <c r="C83" t="s">
        <v>944</v>
      </c>
      <c r="D83" s="52" t="s">
        <v>145</v>
      </c>
      <c r="E83" s="80">
        <f t="shared" si="6"/>
        <v>16.25</v>
      </c>
      <c r="G83" s="52" t="s">
        <v>4331</v>
      </c>
    </row>
    <row r="84" spans="1:7" x14ac:dyDescent="0.25">
      <c r="A84" t="s">
        <v>1100</v>
      </c>
      <c r="B84" s="72" t="s">
        <v>95</v>
      </c>
      <c r="C84" t="s">
        <v>944</v>
      </c>
      <c r="D84" s="52" t="s">
        <v>145</v>
      </c>
      <c r="E84" s="80">
        <f t="shared" si="6"/>
        <v>16.25</v>
      </c>
      <c r="G84" s="52" t="s">
        <v>4331</v>
      </c>
    </row>
    <row r="85" spans="1:7" x14ac:dyDescent="0.25">
      <c r="A85" t="s">
        <v>1101</v>
      </c>
      <c r="B85" s="72" t="s">
        <v>95</v>
      </c>
      <c r="C85" t="s">
        <v>944</v>
      </c>
      <c r="D85" s="52" t="s">
        <v>145</v>
      </c>
      <c r="E85" s="80">
        <f t="shared" si="6"/>
        <v>16.25</v>
      </c>
      <c r="G85" s="52" t="s">
        <v>4331</v>
      </c>
    </row>
    <row r="86" spans="1:7" x14ac:dyDescent="0.25">
      <c r="A86" t="s">
        <v>1102</v>
      </c>
      <c r="B86" s="72" t="s">
        <v>95</v>
      </c>
      <c r="C86" t="s">
        <v>944</v>
      </c>
      <c r="D86" s="52" t="s">
        <v>145</v>
      </c>
      <c r="E86" s="80">
        <f t="shared" si="6"/>
        <v>16.25</v>
      </c>
      <c r="G86" s="52" t="s">
        <v>4331</v>
      </c>
    </row>
    <row r="87" spans="1:7" x14ac:dyDescent="0.25">
      <c r="A87" t="s">
        <v>1103</v>
      </c>
      <c r="B87" s="72" t="s">
        <v>95</v>
      </c>
      <c r="C87" t="s">
        <v>944</v>
      </c>
      <c r="D87" s="52" t="s">
        <v>145</v>
      </c>
      <c r="E87" s="80">
        <f t="shared" si="6"/>
        <v>16.25</v>
      </c>
      <c r="G87" s="52" t="s">
        <v>4331</v>
      </c>
    </row>
    <row r="88" spans="1:7" x14ac:dyDescent="0.25">
      <c r="A88" t="s">
        <v>1104</v>
      </c>
      <c r="B88" s="72" t="s">
        <v>95</v>
      </c>
      <c r="C88" t="s">
        <v>944</v>
      </c>
      <c r="D88" s="52" t="s">
        <v>145</v>
      </c>
      <c r="E88" s="80">
        <f t="shared" si="6"/>
        <v>16.25</v>
      </c>
      <c r="G88" s="52" t="s">
        <v>4331</v>
      </c>
    </row>
    <row r="89" spans="1:7" x14ac:dyDescent="0.25">
      <c r="A89" t="s">
        <v>1105</v>
      </c>
      <c r="B89" s="72" t="s">
        <v>95</v>
      </c>
      <c r="C89" t="s">
        <v>944</v>
      </c>
      <c r="D89" s="52" t="s">
        <v>145</v>
      </c>
      <c r="E89" s="80">
        <f t="shared" si="6"/>
        <v>16.25</v>
      </c>
      <c r="G89" s="52" t="s">
        <v>4331</v>
      </c>
    </row>
    <row r="90" spans="1:7" x14ac:dyDescent="0.25">
      <c r="A90" t="s">
        <v>1106</v>
      </c>
      <c r="B90" s="72" t="s">
        <v>95</v>
      </c>
      <c r="C90" t="s">
        <v>944</v>
      </c>
      <c r="D90" s="52" t="s">
        <v>145</v>
      </c>
      <c r="E90" s="80">
        <f t="shared" si="6"/>
        <v>16.25</v>
      </c>
      <c r="G90" s="52" t="s">
        <v>4331</v>
      </c>
    </row>
    <row r="91" spans="1:7" x14ac:dyDescent="0.25">
      <c r="A91" t="s">
        <v>1107</v>
      </c>
      <c r="B91" s="72" t="s">
        <v>95</v>
      </c>
      <c r="C91" t="s">
        <v>944</v>
      </c>
      <c r="D91" s="52" t="s">
        <v>145</v>
      </c>
      <c r="E91" s="80">
        <f t="shared" si="6"/>
        <v>16.25</v>
      </c>
      <c r="G91" s="52" t="s">
        <v>4331</v>
      </c>
    </row>
    <row r="92" spans="1:7" x14ac:dyDescent="0.25">
      <c r="A92" t="s">
        <v>1108</v>
      </c>
      <c r="B92" s="72" t="s">
        <v>95</v>
      </c>
      <c r="C92" t="s">
        <v>944</v>
      </c>
      <c r="D92" s="52" t="s">
        <v>145</v>
      </c>
      <c r="E92" s="80">
        <f t="shared" si="6"/>
        <v>16.25</v>
      </c>
      <c r="G92" s="52" t="s">
        <v>4331</v>
      </c>
    </row>
    <row r="93" spans="1:7" x14ac:dyDescent="0.25">
      <c r="A93" t="s">
        <v>1109</v>
      </c>
      <c r="B93" s="72" t="s">
        <v>95</v>
      </c>
      <c r="C93" t="s">
        <v>944</v>
      </c>
      <c r="D93" s="52" t="s">
        <v>145</v>
      </c>
      <c r="E93" s="80">
        <f t="shared" si="6"/>
        <v>16.25</v>
      </c>
      <c r="G93" s="52" t="s">
        <v>4331</v>
      </c>
    </row>
    <row r="94" spans="1:7" x14ac:dyDescent="0.25">
      <c r="A94" t="s">
        <v>1110</v>
      </c>
      <c r="B94" s="72" t="s">
        <v>95</v>
      </c>
      <c r="C94" t="s">
        <v>944</v>
      </c>
      <c r="D94" s="52" t="s">
        <v>145</v>
      </c>
      <c r="E94" s="80">
        <f t="shared" si="6"/>
        <v>16.25</v>
      </c>
      <c r="G94" s="52" t="s">
        <v>4331</v>
      </c>
    </row>
    <row r="95" spans="1:7" x14ac:dyDescent="0.25">
      <c r="A95" t="s">
        <v>1111</v>
      </c>
      <c r="B95" s="72" t="s">
        <v>95</v>
      </c>
      <c r="C95" t="s">
        <v>944</v>
      </c>
      <c r="D95" s="52" t="s">
        <v>145</v>
      </c>
      <c r="E95" s="80">
        <f t="shared" si="6"/>
        <v>16.25</v>
      </c>
      <c r="G95" s="52" t="s">
        <v>4331</v>
      </c>
    </row>
    <row r="96" spans="1:7" x14ac:dyDescent="0.25">
      <c r="A96" t="s">
        <v>1112</v>
      </c>
      <c r="B96" s="72" t="s">
        <v>95</v>
      </c>
      <c r="C96" t="s">
        <v>944</v>
      </c>
      <c r="D96" s="52" t="s">
        <v>145</v>
      </c>
      <c r="E96" s="80">
        <f t="shared" si="6"/>
        <v>16.25</v>
      </c>
      <c r="G96" s="52" t="s">
        <v>4331</v>
      </c>
    </row>
    <row r="97" spans="1:7" x14ac:dyDescent="0.25">
      <c r="A97" t="s">
        <v>1113</v>
      </c>
      <c r="B97" s="72" t="s">
        <v>95</v>
      </c>
      <c r="C97" t="s">
        <v>944</v>
      </c>
      <c r="D97" s="52" t="s">
        <v>145</v>
      </c>
      <c r="E97" s="80">
        <f t="shared" si="6"/>
        <v>16.25</v>
      </c>
      <c r="G97" s="52" t="s">
        <v>4331</v>
      </c>
    </row>
    <row r="98" spans="1:7" s="202" customFormat="1" x14ac:dyDescent="0.25">
      <c r="A98" s="202" t="s">
        <v>1114</v>
      </c>
      <c r="B98" s="332" t="s">
        <v>95</v>
      </c>
      <c r="C98" s="202" t="s">
        <v>944</v>
      </c>
      <c r="D98" s="203" t="s">
        <v>145</v>
      </c>
      <c r="E98" s="303">
        <f t="shared" si="6"/>
        <v>16.25</v>
      </c>
      <c r="F98" s="910"/>
      <c r="G98" s="203" t="s">
        <v>4331</v>
      </c>
    </row>
    <row r="99" spans="1:7" x14ac:dyDescent="0.25">
      <c r="A99" t="s">
        <v>1869</v>
      </c>
      <c r="B99" s="72" t="s">
        <v>95</v>
      </c>
      <c r="C99" t="s">
        <v>2014</v>
      </c>
      <c r="D99" s="52" t="s">
        <v>450</v>
      </c>
      <c r="E99" s="80">
        <f>8760*3600/1000000</f>
        <v>31.536000000000001</v>
      </c>
      <c r="G99" s="52" t="s">
        <v>4620</v>
      </c>
    </row>
    <row r="100" spans="1:7" x14ac:dyDescent="0.25">
      <c r="A100" t="s">
        <v>2882</v>
      </c>
      <c r="B100" s="72" t="s">
        <v>95</v>
      </c>
      <c r="C100" t="s">
        <v>2014</v>
      </c>
      <c r="D100" s="52" t="s">
        <v>450</v>
      </c>
      <c r="E100" s="80">
        <f>8760*3600/1000000</f>
        <v>31.536000000000001</v>
      </c>
      <c r="G100" s="52" t="s">
        <v>4620</v>
      </c>
    </row>
    <row r="101" spans="1:7" x14ac:dyDescent="0.25">
      <c r="A101" t="s">
        <v>2902</v>
      </c>
      <c r="B101" s="72" t="s">
        <v>95</v>
      </c>
      <c r="C101" t="s">
        <v>2014</v>
      </c>
      <c r="D101" s="52" t="s">
        <v>450</v>
      </c>
      <c r="E101" s="80">
        <f>8760*3600/1000000</f>
        <v>31.536000000000001</v>
      </c>
      <c r="G101" s="52" t="s">
        <v>4620</v>
      </c>
    </row>
    <row r="102" spans="1:7" x14ac:dyDescent="0.25">
      <c r="A102" t="s">
        <v>2886</v>
      </c>
      <c r="B102" s="72" t="s">
        <v>95</v>
      </c>
      <c r="C102" t="s">
        <v>2014</v>
      </c>
      <c r="D102" s="52" t="s">
        <v>450</v>
      </c>
      <c r="E102" s="80">
        <f>8760*3600/1000000</f>
        <v>31.536000000000001</v>
      </c>
      <c r="G102" s="52" t="s">
        <v>4620</v>
      </c>
    </row>
    <row r="103" spans="1:7" x14ac:dyDescent="0.25">
      <c r="A103" t="s">
        <v>4689</v>
      </c>
      <c r="B103" s="72" t="s">
        <v>95</v>
      </c>
      <c r="C103" t="s">
        <v>2014</v>
      </c>
      <c r="D103" s="52" t="s">
        <v>450</v>
      </c>
      <c r="E103" s="80">
        <f t="shared" ref="E103:E106" si="7">8760*3600/1000000</f>
        <v>31.536000000000001</v>
      </c>
      <c r="G103" s="52" t="s">
        <v>4620</v>
      </c>
    </row>
    <row r="104" spans="1:7" x14ac:dyDescent="0.25">
      <c r="A104" t="s">
        <v>4690</v>
      </c>
      <c r="B104" s="72" t="s">
        <v>95</v>
      </c>
      <c r="C104" t="s">
        <v>2014</v>
      </c>
      <c r="D104" s="52" t="s">
        <v>450</v>
      </c>
      <c r="E104" s="80">
        <f t="shared" si="7"/>
        <v>31.536000000000001</v>
      </c>
      <c r="G104" s="52" t="s">
        <v>4620</v>
      </c>
    </row>
    <row r="105" spans="1:7" x14ac:dyDescent="0.25">
      <c r="A105" t="s">
        <v>2884</v>
      </c>
      <c r="B105" s="72" t="s">
        <v>95</v>
      </c>
      <c r="C105" t="s">
        <v>2014</v>
      </c>
      <c r="D105" s="52" t="s">
        <v>450</v>
      </c>
      <c r="E105" s="80">
        <f t="shared" si="7"/>
        <v>31.536000000000001</v>
      </c>
      <c r="G105" s="52" t="s">
        <v>4620</v>
      </c>
    </row>
    <row r="106" spans="1:7" x14ac:dyDescent="0.25">
      <c r="A106" t="s">
        <v>4693</v>
      </c>
      <c r="B106" s="72" t="s">
        <v>95</v>
      </c>
      <c r="C106" t="s">
        <v>2014</v>
      </c>
      <c r="D106" s="52" t="s">
        <v>450</v>
      </c>
      <c r="E106" s="80">
        <f t="shared" si="7"/>
        <v>31.536000000000001</v>
      </c>
      <c r="G106" s="52" t="s">
        <v>4620</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62"/>
  <sheetViews>
    <sheetView tabSelected="1" topLeftCell="A36" workbookViewId="0">
      <pane xSplit="1" topLeftCell="B1" activePane="topRight" state="frozen"/>
      <selection activeCell="A18" sqref="A18"/>
      <selection pane="topRight" activeCell="O78" sqref="O78"/>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20" max="20" width="8.5703125" customWidth="1"/>
    <col min="21" max="21" width="11.28515625" customWidth="1"/>
    <col min="27" max="27" width="16.140625" customWidth="1"/>
    <col min="42" max="42" width="11.140625" customWidth="1"/>
    <col min="43" max="46" width="10" customWidth="1"/>
  </cols>
  <sheetData>
    <row r="1" spans="1:46" ht="15.75" x14ac:dyDescent="0.25">
      <c r="A1" s="1"/>
      <c r="B1" s="1"/>
      <c r="C1" s="1"/>
      <c r="D1" s="1"/>
      <c r="E1" s="109"/>
      <c r="F1" s="1057" t="s">
        <v>1864</v>
      </c>
      <c r="G1" s="1058"/>
      <c r="H1" s="1058"/>
      <c r="I1" s="1058"/>
      <c r="J1" s="1058"/>
      <c r="K1" s="1058"/>
      <c r="L1" s="1059"/>
      <c r="M1" s="53"/>
      <c r="O1" s="1117" t="s">
        <v>4251</v>
      </c>
      <c r="P1" s="1117"/>
      <c r="R1" s="1117" t="s">
        <v>4262</v>
      </c>
      <c r="S1" s="1117"/>
      <c r="T1" s="1117"/>
      <c r="U1" s="1117"/>
      <c r="V1" s="1117"/>
      <c r="W1" s="1117"/>
      <c r="X1" s="1117"/>
      <c r="Y1" s="1117"/>
      <c r="Z1" s="1117"/>
      <c r="AA1" s="1117"/>
      <c r="AB1" s="1117"/>
      <c r="AC1" s="1117"/>
      <c r="AD1" s="1117"/>
      <c r="AE1" s="1117"/>
      <c r="AF1" s="1117"/>
      <c r="AG1" s="1117"/>
      <c r="AH1" s="1117"/>
      <c r="AI1" s="1117"/>
      <c r="AJ1" s="1117"/>
      <c r="AK1" s="1117"/>
      <c r="AL1" s="1117"/>
      <c r="AM1" s="1117"/>
      <c r="AN1" s="1117"/>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4252</v>
      </c>
      <c r="P2" s="88">
        <v>2021</v>
      </c>
      <c r="R2" s="88" t="s">
        <v>4252</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4263</v>
      </c>
      <c r="AP2" s="905" t="s">
        <v>4349</v>
      </c>
      <c r="AQ2" t="s">
        <v>4343</v>
      </c>
      <c r="AR2" t="s">
        <v>4345</v>
      </c>
      <c r="AS2" t="s">
        <v>4344</v>
      </c>
      <c r="AT2" t="s">
        <v>4350</v>
      </c>
    </row>
    <row r="3" spans="1:46" ht="15.75" thickTop="1" x14ac:dyDescent="0.25">
      <c r="A3" t="s">
        <v>4432</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4352</v>
      </c>
      <c r="N3" s="85" t="s">
        <v>4332</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4433</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4352</v>
      </c>
      <c r="N4" s="85" t="s">
        <v>4332</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4434</v>
      </c>
      <c r="B5" t="s">
        <v>4761</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4352</v>
      </c>
      <c r="N5" s="85" t="s">
        <v>4332</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4435</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4352</v>
      </c>
      <c r="N6" s="85" t="s">
        <v>4332</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4436</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4352</v>
      </c>
      <c r="N7" s="598" t="s">
        <v>4332</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4437</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4352</v>
      </c>
      <c r="N8" s="85" t="s">
        <v>4332</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4438</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4352</v>
      </c>
      <c r="N9" s="85" t="s">
        <v>4332</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4439</v>
      </c>
      <c r="B10" t="s">
        <v>4762</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4352</v>
      </c>
      <c r="N10" s="85" t="s">
        <v>4332</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4440</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4352</v>
      </c>
      <c r="N11" s="85" t="s">
        <v>4332</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4441</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4352</v>
      </c>
      <c r="N12" s="598" t="s">
        <v>4332</v>
      </c>
      <c r="O12" s="912"/>
      <c r="P12" s="302"/>
    </row>
    <row r="13" spans="1:46" ht="15.75" thickBot="1" x14ac:dyDescent="0.3">
      <c r="A13" t="s">
        <v>4442</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4352</v>
      </c>
      <c r="N13" s="85" t="s">
        <v>4332</v>
      </c>
      <c r="O13" s="169"/>
      <c r="S13" s="88">
        <v>2000</v>
      </c>
      <c r="T13" s="88">
        <v>2001</v>
      </c>
      <c r="U13" s="88">
        <v>2002</v>
      </c>
      <c r="V13" s="88">
        <v>2003</v>
      </c>
      <c r="W13" s="88">
        <v>2004</v>
      </c>
      <c r="X13" s="16">
        <v>2005</v>
      </c>
      <c r="Y13" s="16">
        <v>2006</v>
      </c>
      <c r="Z13" s="16">
        <v>2007</v>
      </c>
      <c r="AA13" s="16">
        <v>2008</v>
      </c>
      <c r="AB13" s="16">
        <v>2009</v>
      </c>
      <c r="AC13" s="16">
        <v>2010</v>
      </c>
      <c r="AD13" s="16">
        <v>2011</v>
      </c>
      <c r="AE13" s="16">
        <v>2012</v>
      </c>
      <c r="AF13" s="16">
        <v>2013</v>
      </c>
      <c r="AG13" s="16">
        <v>2014</v>
      </c>
      <c r="AH13" s="16">
        <v>2015</v>
      </c>
      <c r="AI13" s="16">
        <v>2016</v>
      </c>
      <c r="AJ13" s="16">
        <v>2017</v>
      </c>
      <c r="AK13" s="16">
        <v>2018</v>
      </c>
      <c r="AL13" s="16">
        <v>2019</v>
      </c>
      <c r="AM13" s="16">
        <v>2020</v>
      </c>
      <c r="AN13" s="16">
        <v>2021</v>
      </c>
    </row>
    <row r="14" spans="1:46" ht="15.75" thickTop="1" x14ac:dyDescent="0.25">
      <c r="A14" t="s">
        <v>4443</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4352</v>
      </c>
      <c r="N14" s="85" t="s">
        <v>4332</v>
      </c>
      <c r="O14" s="169"/>
      <c r="P14" s="301"/>
      <c r="R14" t="s">
        <v>17</v>
      </c>
      <c r="S14" s="85">
        <v>3.2344641455905251E-2</v>
      </c>
      <c r="T14" s="85">
        <v>3.1053866784300416E-2</v>
      </c>
      <c r="U14" s="85">
        <v>3.2578498571603234E-2</v>
      </c>
      <c r="V14" s="85">
        <v>3.2538768141112021E-2</v>
      </c>
      <c r="W14" s="85">
        <v>3.264464048866033E-2</v>
      </c>
      <c r="X14" s="85">
        <v>3.3091951841164743E-2</v>
      </c>
      <c r="Y14" s="85">
        <v>3.2283970632783335E-2</v>
      </c>
      <c r="Z14" s="85">
        <v>3.2339642376463792E-2</v>
      </c>
      <c r="AA14" s="85">
        <v>3.1680511311296969E-2</v>
      </c>
      <c r="AB14" s="85">
        <v>3.2532432107723434E-2</v>
      </c>
      <c r="AC14" s="85">
        <v>3.2844567065277927E-2</v>
      </c>
      <c r="AD14" s="85">
        <v>3.2220895183784362E-2</v>
      </c>
      <c r="AE14" s="85">
        <v>3.0182980822698366E-2</v>
      </c>
      <c r="AF14" s="85">
        <v>3.1109987031755638E-2</v>
      </c>
      <c r="AG14" s="85">
        <v>2.9214497755787192E-2</v>
      </c>
      <c r="AH14" s="85">
        <v>2.8547056072091306E-2</v>
      </c>
      <c r="AI14" s="85">
        <v>2.7740761522067354E-2</v>
      </c>
      <c r="AJ14" s="85">
        <v>2.6341252191109745E-2</v>
      </c>
      <c r="AK14" s="85">
        <v>2.5684479099081194E-2</v>
      </c>
      <c r="AL14" s="85">
        <v>2.6495047866549024E-2</v>
      </c>
      <c r="AM14" s="85">
        <v>2.1024710993844904E-2</v>
      </c>
      <c r="AN14" s="85">
        <v>2.1703525725004773E-2</v>
      </c>
    </row>
    <row r="15" spans="1:46" x14ac:dyDescent="0.25">
      <c r="A15" t="s">
        <v>4444</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4352</v>
      </c>
      <c r="N15" s="85" t="s">
        <v>4332</v>
      </c>
      <c r="O15" s="169"/>
      <c r="P15" s="301"/>
      <c r="R15" t="s">
        <v>194</v>
      </c>
      <c r="S15" s="85">
        <v>3.4571858626768925E-2</v>
      </c>
      <c r="T15" s="85">
        <v>3.3331462439774681E-2</v>
      </c>
      <c r="U15" s="85">
        <v>3.4808917490509621E-2</v>
      </c>
      <c r="V15" s="85">
        <v>3.4676535147371665E-2</v>
      </c>
      <c r="W15" s="85">
        <v>3.4888728946858551E-2</v>
      </c>
      <c r="X15" s="85">
        <v>3.5452165670563481E-2</v>
      </c>
      <c r="Y15" s="85">
        <v>3.461712949639946E-2</v>
      </c>
      <c r="Z15" s="85">
        <v>3.4618994202411997E-2</v>
      </c>
      <c r="AA15" s="85">
        <v>3.3862308793488331E-2</v>
      </c>
      <c r="AB15" s="85">
        <v>3.4805427253057929E-2</v>
      </c>
      <c r="AC15" s="85">
        <v>3.5367126614479168E-2</v>
      </c>
      <c r="AD15" s="85">
        <v>3.4924048952178176E-2</v>
      </c>
      <c r="AE15" s="85">
        <v>3.2606861008902352E-2</v>
      </c>
      <c r="AF15" s="85">
        <v>3.3859710051605527E-2</v>
      </c>
      <c r="AG15" s="85">
        <v>3.1930848492738043E-2</v>
      </c>
      <c r="AH15" s="85">
        <v>3.139260353733396E-2</v>
      </c>
      <c r="AI15" s="85">
        <v>3.0839517973884682E-2</v>
      </c>
      <c r="AJ15" s="85">
        <v>2.9547100963760526E-2</v>
      </c>
      <c r="AK15" s="85">
        <v>2.9130318639308584E-2</v>
      </c>
      <c r="AL15" s="85">
        <v>3.0043278510270104E-2</v>
      </c>
      <c r="AM15" s="85">
        <v>2.3925592614651721E-2</v>
      </c>
      <c r="AN15" s="85">
        <v>2.5008225709264743E-2</v>
      </c>
    </row>
    <row r="16" spans="1:46" s="202" customFormat="1" x14ac:dyDescent="0.25">
      <c r="A16" s="202" t="s">
        <v>4445</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4352</v>
      </c>
      <c r="N16" s="598" t="s">
        <v>4332</v>
      </c>
      <c r="O16" s="912"/>
      <c r="P16" s="302"/>
      <c r="R16" s="202" t="s">
        <v>28</v>
      </c>
      <c r="S16" s="598">
        <v>3.6410935210463929E-2</v>
      </c>
      <c r="T16" s="598">
        <v>3.9172461900047105E-2</v>
      </c>
      <c r="U16" s="598">
        <v>3.6749746076290959E-2</v>
      </c>
      <c r="V16" s="598">
        <v>4.2012266409615057E-2</v>
      </c>
      <c r="W16" s="598">
        <v>3.7878381407843845E-2</v>
      </c>
      <c r="X16" s="598">
        <v>3.2192589316321102E-2</v>
      </c>
      <c r="Y16" s="598">
        <v>3.6849534233957634E-2</v>
      </c>
      <c r="Z16" s="598">
        <v>3.7456593710628434E-2</v>
      </c>
      <c r="AA16" s="598">
        <v>3.3475345080742389E-2</v>
      </c>
      <c r="AB16" s="598">
        <v>3.2518665325602623E-2</v>
      </c>
      <c r="AC16" s="598">
        <v>3.4757731982942429E-2</v>
      </c>
      <c r="AD16" s="598">
        <v>3.4028357218844035E-2</v>
      </c>
      <c r="AE16" s="598">
        <v>3.1190170171146066E-2</v>
      </c>
      <c r="AF16" s="598">
        <v>3.0374667115043812E-2</v>
      </c>
      <c r="AG16" s="598">
        <v>2.9060134944391296E-2</v>
      </c>
      <c r="AH16" s="598">
        <v>2.7547483343615918E-2</v>
      </c>
      <c r="AI16" s="598">
        <v>2.5952827158539301E-2</v>
      </c>
      <c r="AJ16" s="598">
        <v>2.5891533653123917E-2</v>
      </c>
      <c r="AK16" s="598">
        <v>2.6799833667747207E-2</v>
      </c>
      <c r="AL16" s="598">
        <v>2.6679927463137344E-2</v>
      </c>
      <c r="AM16" s="598">
        <v>2.2051014964966267E-2</v>
      </c>
      <c r="AN16" s="598">
        <v>2.4183772144111233E-2</v>
      </c>
    </row>
    <row r="17" spans="1:35" x14ac:dyDescent="0.25">
      <c r="A17" t="s">
        <v>4446</v>
      </c>
      <c r="B17" t="s">
        <v>2041</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4352</v>
      </c>
      <c r="N17" s="85" t="s">
        <v>4332</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4447</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4781</v>
      </c>
      <c r="N18" s="598" t="s">
        <v>4332</v>
      </c>
      <c r="O18" s="912"/>
      <c r="P18" s="302"/>
    </row>
    <row r="19" spans="1:35" s="915" customFormat="1" x14ac:dyDescent="0.25">
      <c r="A19" s="915" t="s">
        <v>4448</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4352</v>
      </c>
      <c r="N19" s="918" t="s">
        <v>4332</v>
      </c>
      <c r="O19" s="919"/>
    </row>
    <row r="20" spans="1:35" s="915" customFormat="1" x14ac:dyDescent="0.25">
      <c r="A20" s="915" t="s">
        <v>4449</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4352</v>
      </c>
      <c r="N20" s="918" t="s">
        <v>4332</v>
      </c>
      <c r="O20" s="919"/>
    </row>
    <row r="21" spans="1:35" x14ac:dyDescent="0.25">
      <c r="A21" t="s">
        <v>4450</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4352</v>
      </c>
      <c r="N21" s="85" t="s">
        <v>4332</v>
      </c>
      <c r="O21" s="169"/>
    </row>
    <row r="22" spans="1:35" x14ac:dyDescent="0.25">
      <c r="A22" t="s">
        <v>4451</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4352</v>
      </c>
      <c r="N22" s="85" t="s">
        <v>4332</v>
      </c>
      <c r="O22" s="169"/>
      <c r="P22" s="301"/>
    </row>
    <row r="23" spans="1:35" s="202" customFormat="1" x14ac:dyDescent="0.25">
      <c r="A23" s="202" t="s">
        <v>4452</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4352</v>
      </c>
      <c r="N23" s="598" t="s">
        <v>4332</v>
      </c>
      <c r="O23" s="912"/>
      <c r="P23" s="302"/>
    </row>
    <row r="24" spans="1:35" x14ac:dyDescent="0.25">
      <c r="A24" t="s">
        <v>4453</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4352</v>
      </c>
      <c r="N24" s="85" t="s">
        <v>4332</v>
      </c>
      <c r="O24" s="169"/>
    </row>
    <row r="25" spans="1:35" ht="14.45" customHeight="1" x14ac:dyDescent="0.25">
      <c r="A25" t="s">
        <v>4454</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4352</v>
      </c>
      <c r="N25" s="85" t="s">
        <v>4332</v>
      </c>
      <c r="O25" s="169"/>
      <c r="P25" s="301"/>
    </row>
    <row r="26" spans="1:35" x14ac:dyDescent="0.25">
      <c r="A26" t="s">
        <v>4455</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4352</v>
      </c>
      <c r="N26" s="85" t="s">
        <v>4332</v>
      </c>
      <c r="O26" s="169"/>
      <c r="P26" s="301"/>
    </row>
    <row r="27" spans="1:35" s="202" customFormat="1" x14ac:dyDescent="0.25">
      <c r="A27" s="202" t="s">
        <v>4456</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4352</v>
      </c>
      <c r="N27" s="598" t="s">
        <v>4332</v>
      </c>
      <c r="O27" s="912"/>
      <c r="P27" s="302"/>
    </row>
    <row r="28" spans="1:35" x14ac:dyDescent="0.25">
      <c r="A28" t="s">
        <v>4457</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4352</v>
      </c>
      <c r="N28" s="85" t="s">
        <v>4332</v>
      </c>
      <c r="O28" s="834"/>
    </row>
    <row r="29" spans="1:35" s="202" customFormat="1" x14ac:dyDescent="0.25">
      <c r="A29" s="202" t="s">
        <v>4458</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4352</v>
      </c>
      <c r="N29" s="85" t="s">
        <v>4332</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4352</v>
      </c>
      <c r="N30" s="85" t="s">
        <v>4332</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4352</v>
      </c>
      <c r="N31" s="85" t="s">
        <v>4332</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4352</v>
      </c>
      <c r="N32" s="85" t="s">
        <v>4332</v>
      </c>
    </row>
    <row r="33" spans="1:29"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4352</v>
      </c>
      <c r="N33" s="85" t="s">
        <v>4332</v>
      </c>
    </row>
    <row r="34" spans="1:29" x14ac:dyDescent="0.25">
      <c r="A34" t="s">
        <v>4390</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4352</v>
      </c>
      <c r="N34" s="85" t="s">
        <v>4332</v>
      </c>
    </row>
    <row r="35" spans="1:29"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4352</v>
      </c>
      <c r="N35" s="85" t="s">
        <v>4332</v>
      </c>
    </row>
    <row r="36" spans="1:29" ht="15" customHeight="1" x14ac:dyDescent="0.25">
      <c r="A36" t="s">
        <v>4395</v>
      </c>
      <c r="B36" t="s">
        <v>4761</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4352</v>
      </c>
      <c r="N36" s="85" t="s">
        <v>4332</v>
      </c>
    </row>
    <row r="37" spans="1:29" x14ac:dyDescent="0.25">
      <c r="A37" t="s">
        <v>1010</v>
      </c>
      <c r="B37" t="s">
        <v>4761</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4352</v>
      </c>
      <c r="N37" s="85" t="s">
        <v>4332</v>
      </c>
    </row>
    <row r="38" spans="1:29" x14ac:dyDescent="0.25">
      <c r="A38" t="s">
        <v>1011</v>
      </c>
      <c r="B38" t="s">
        <v>4761</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4352</v>
      </c>
      <c r="N38" s="85" t="s">
        <v>4332</v>
      </c>
    </row>
    <row r="39" spans="1:29" x14ac:dyDescent="0.25">
      <c r="A39" t="s">
        <v>1012</v>
      </c>
      <c r="B39" t="s">
        <v>4761</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4352</v>
      </c>
      <c r="N39" s="85" t="s">
        <v>4332</v>
      </c>
    </row>
    <row r="40" spans="1:29" s="202" customFormat="1" x14ac:dyDescent="0.25">
      <c r="A40" s="202" t="s">
        <v>4420</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4352</v>
      </c>
      <c r="N40" s="598" t="s">
        <v>4332</v>
      </c>
    </row>
    <row r="41" spans="1:29"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4352</v>
      </c>
      <c r="N41" s="85" t="s">
        <v>4332</v>
      </c>
      <c r="Z41" s="28" t="s">
        <v>4901</v>
      </c>
    </row>
    <row r="42" spans="1:29" ht="15.75" thickBot="1" x14ac:dyDescent="0.3">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4352</v>
      </c>
      <c r="N42" s="85" t="s">
        <v>4332</v>
      </c>
      <c r="Z42" s="88" t="s">
        <v>130</v>
      </c>
      <c r="AA42" s="88" t="s">
        <v>4893</v>
      </c>
      <c r="AB42" s="88" t="s">
        <v>4894</v>
      </c>
      <c r="AC42" s="88" t="s">
        <v>4895</v>
      </c>
    </row>
    <row r="43" spans="1:29" ht="15.75" thickTop="1"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4352</v>
      </c>
      <c r="N43" s="85" t="s">
        <v>4332</v>
      </c>
      <c r="Z43" t="s">
        <v>4896</v>
      </c>
      <c r="AA43" t="s">
        <v>4897</v>
      </c>
      <c r="AB43">
        <v>5</v>
      </c>
      <c r="AC43" s="71">
        <v>280.754464305</v>
      </c>
    </row>
    <row r="44" spans="1:29"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4352</v>
      </c>
      <c r="N44" s="85" t="s">
        <v>4332</v>
      </c>
      <c r="Z44" t="s">
        <v>4896</v>
      </c>
      <c r="AA44" t="s">
        <v>4897</v>
      </c>
      <c r="AB44">
        <v>10</v>
      </c>
      <c r="AC44" s="71">
        <v>331.56783216999997</v>
      </c>
    </row>
    <row r="45" spans="1:29" x14ac:dyDescent="0.25">
      <c r="A45" t="s">
        <v>4391</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4352</v>
      </c>
      <c r="N45" s="85" t="s">
        <v>4332</v>
      </c>
      <c r="Z45" t="s">
        <v>4896</v>
      </c>
      <c r="AA45" t="s">
        <v>4897</v>
      </c>
      <c r="AB45">
        <v>15</v>
      </c>
      <c r="AC45" s="71">
        <v>339.96399404499999</v>
      </c>
    </row>
    <row r="46" spans="1:29"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4352</v>
      </c>
      <c r="N46" s="85" t="s">
        <v>4332</v>
      </c>
      <c r="Z46" t="s">
        <v>4896</v>
      </c>
      <c r="AA46" t="s">
        <v>4897</v>
      </c>
      <c r="AB46">
        <v>20</v>
      </c>
      <c r="AC46" s="71">
        <v>350.29402750000003</v>
      </c>
    </row>
    <row r="47" spans="1:29" x14ac:dyDescent="0.25">
      <c r="A47" t="s">
        <v>4396</v>
      </c>
      <c r="B47" t="s">
        <v>4762</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4352</v>
      </c>
      <c r="N47" s="85" t="s">
        <v>4332</v>
      </c>
      <c r="Z47" t="s">
        <v>4896</v>
      </c>
      <c r="AA47" t="s">
        <v>4897</v>
      </c>
      <c r="AB47">
        <v>25</v>
      </c>
      <c r="AC47" s="71">
        <v>353.34757317499998</v>
      </c>
    </row>
    <row r="48" spans="1:29" x14ac:dyDescent="0.25">
      <c r="A48" t="s">
        <v>1020</v>
      </c>
      <c r="B48" t="s">
        <v>4762</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4352</v>
      </c>
      <c r="N48" s="85" t="s">
        <v>4332</v>
      </c>
      <c r="Z48" t="s">
        <v>4896</v>
      </c>
      <c r="AA48" t="s">
        <v>4897</v>
      </c>
      <c r="AB48">
        <v>30</v>
      </c>
      <c r="AC48" s="71">
        <v>358.57827089</v>
      </c>
    </row>
    <row r="49" spans="1:30" x14ac:dyDescent="0.25">
      <c r="A49" t="s">
        <v>1021</v>
      </c>
      <c r="B49" t="s">
        <v>4762</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4352</v>
      </c>
      <c r="N49" s="85" t="s">
        <v>4332</v>
      </c>
      <c r="Z49" t="s">
        <v>4896</v>
      </c>
      <c r="AA49" t="s">
        <v>4897</v>
      </c>
      <c r="AB49">
        <v>35</v>
      </c>
      <c r="AC49" s="71">
        <v>361.77071059999997</v>
      </c>
    </row>
    <row r="50" spans="1:30" ht="15.75" thickBot="1" x14ac:dyDescent="0.3">
      <c r="A50" t="s">
        <v>1022</v>
      </c>
      <c r="B50" t="s">
        <v>4762</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4352</v>
      </c>
      <c r="N50" s="85" t="s">
        <v>4332</v>
      </c>
      <c r="O50" s="87" t="s">
        <v>4889</v>
      </c>
      <c r="S50" s="28"/>
      <c r="Y50" s="28"/>
      <c r="Z50" s="28" t="s">
        <v>4896</v>
      </c>
      <c r="AA50" s="28" t="s">
        <v>4897</v>
      </c>
      <c r="AB50" s="28">
        <v>40</v>
      </c>
      <c r="AC50" s="826">
        <v>367.6835294</v>
      </c>
      <c r="AD50" s="28"/>
    </row>
    <row r="51" spans="1:30" s="202" customFormat="1" x14ac:dyDescent="0.25">
      <c r="A51" s="202" t="s">
        <v>4421</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4352</v>
      </c>
      <c r="N51" s="598" t="s">
        <v>4332</v>
      </c>
      <c r="O51" s="205" t="s">
        <v>4868</v>
      </c>
      <c r="P51" s="205" t="s">
        <v>4903</v>
      </c>
      <c r="R51" s="205" t="s">
        <v>4904</v>
      </c>
      <c r="S51" s="202">
        <v>2025</v>
      </c>
      <c r="T51" s="1194">
        <v>2030</v>
      </c>
      <c r="U51" s="205">
        <v>2035</v>
      </c>
      <c r="V51" s="205">
        <v>2040</v>
      </c>
      <c r="Y51" s="205"/>
      <c r="Z51" s="205" t="s">
        <v>4896</v>
      </c>
      <c r="AA51" s="205" t="s">
        <v>4897</v>
      </c>
      <c r="AB51" s="205">
        <v>45</v>
      </c>
      <c r="AC51" s="1191">
        <v>369.71961675</v>
      </c>
      <c r="AD51" s="1192" t="s">
        <v>4902</v>
      </c>
    </row>
    <row r="52" spans="1:30" ht="15.75" thickBot="1" x14ac:dyDescent="0.3">
      <c r="A52" t="s">
        <v>1033</v>
      </c>
      <c r="B52" t="s">
        <v>2040</v>
      </c>
      <c r="C52" t="s">
        <v>95</v>
      </c>
      <c r="D52" t="s">
        <v>161</v>
      </c>
      <c r="E52" s="52">
        <v>2023</v>
      </c>
      <c r="F52" s="108">
        <f>$F$13*R52</f>
        <v>3.0010871205830705E-2</v>
      </c>
      <c r="G52" s="108">
        <f>$G$13*S52</f>
        <v>3.3234261591271741E-2</v>
      </c>
      <c r="H52" s="108">
        <f>$H$13*T52</f>
        <v>3.6457651976712781E-2</v>
      </c>
      <c r="I52" s="108">
        <f>$H$13*U52</f>
        <v>3.6457651976712781E-2</v>
      </c>
      <c r="J52" s="108">
        <f t="shared" ref="J52:L62" si="14">$H$13</f>
        <v>3.6457651976712781E-2</v>
      </c>
      <c r="K52" s="108">
        <f t="shared" si="14"/>
        <v>3.6457651976712781E-2</v>
      </c>
      <c r="L52" s="108">
        <f t="shared" si="14"/>
        <v>3.6457651976712781E-2</v>
      </c>
      <c r="M52" s="54" t="s">
        <v>4352</v>
      </c>
      <c r="N52" s="85" t="s">
        <v>4332</v>
      </c>
      <c r="O52" t="s">
        <v>107</v>
      </c>
      <c r="P52">
        <v>200</v>
      </c>
      <c r="R52" s="1195">
        <v>1</v>
      </c>
      <c r="S52" s="1195">
        <v>1</v>
      </c>
      <c r="T52" s="1195">
        <v>1</v>
      </c>
      <c r="U52" s="1195">
        <v>1</v>
      </c>
      <c r="V52" s="1195">
        <v>1</v>
      </c>
      <c r="Z52" t="s">
        <v>4896</v>
      </c>
      <c r="AA52" t="s">
        <v>4897</v>
      </c>
      <c r="AB52">
        <v>50</v>
      </c>
      <c r="AC52" s="71">
        <v>378.0709445</v>
      </c>
      <c r="AD52" s="1193">
        <f>AVERAGE(AC43:AC61)</f>
        <v>373.41070464342101</v>
      </c>
    </row>
    <row r="53" spans="1:30" x14ac:dyDescent="0.25">
      <c r="A53" t="s">
        <v>1034</v>
      </c>
      <c r="B53" t="s">
        <v>2040</v>
      </c>
      <c r="C53" t="s">
        <v>95</v>
      </c>
      <c r="D53" t="s">
        <v>161</v>
      </c>
      <c r="E53" s="52">
        <v>2023</v>
      </c>
      <c r="F53" s="108">
        <f t="shared" ref="F53:F62" si="15">$F$13*R53</f>
        <v>3.0010871205830705E-2</v>
      </c>
      <c r="G53" s="108">
        <f t="shared" ref="G53:G62" si="16">$G$13*S53</f>
        <v>3.3234261591271741E-2</v>
      </c>
      <c r="H53" s="108">
        <f t="shared" ref="H53:H62" si="17">$H$13*T53</f>
        <v>3.6457651976712781E-2</v>
      </c>
      <c r="I53" s="108">
        <f t="shared" ref="I53:I62" si="18">$H$13*U53</f>
        <v>3.6457651976712781E-2</v>
      </c>
      <c r="J53" s="108">
        <f t="shared" si="14"/>
        <v>3.6457651976712781E-2</v>
      </c>
      <c r="K53" s="108">
        <f t="shared" si="14"/>
        <v>3.6457651976712781E-2</v>
      </c>
      <c r="L53" s="108">
        <f t="shared" si="14"/>
        <v>3.6457651976712781E-2</v>
      </c>
      <c r="M53" s="54" t="s">
        <v>4352</v>
      </c>
      <c r="N53" s="85" t="s">
        <v>4332</v>
      </c>
      <c r="O53" s="202" t="s">
        <v>4890</v>
      </c>
      <c r="P53" s="202">
        <v>109</v>
      </c>
      <c r="R53" s="1195">
        <v>1</v>
      </c>
      <c r="S53" s="1195">
        <v>1</v>
      </c>
      <c r="T53" s="1195">
        <v>1</v>
      </c>
      <c r="U53" s="1195">
        <v>1</v>
      </c>
      <c r="V53" s="1195">
        <v>1</v>
      </c>
      <c r="Z53" t="s">
        <v>4896</v>
      </c>
      <c r="AA53" t="s">
        <v>4897</v>
      </c>
      <c r="AB53">
        <v>55</v>
      </c>
      <c r="AC53" s="71">
        <v>383.76048019500001</v>
      </c>
    </row>
    <row r="54" spans="1:30" x14ac:dyDescent="0.25">
      <c r="A54" t="s">
        <v>1035</v>
      </c>
      <c r="B54" t="s">
        <v>2040</v>
      </c>
      <c r="C54" t="s">
        <v>95</v>
      </c>
      <c r="D54" t="s">
        <v>161</v>
      </c>
      <c r="E54" s="52">
        <v>2023</v>
      </c>
      <c r="F54" s="108">
        <f t="shared" si="15"/>
        <v>3.0010871205830705E-2</v>
      </c>
      <c r="G54" s="108">
        <f t="shared" si="16"/>
        <v>3.3234261591271741E-2</v>
      </c>
      <c r="H54" s="108">
        <f t="shared" si="17"/>
        <v>3.6457651976712781E-2</v>
      </c>
      <c r="I54" s="108">
        <f t="shared" si="18"/>
        <v>3.6457651976712781E-2</v>
      </c>
      <c r="J54" s="108">
        <f t="shared" si="14"/>
        <v>3.6457651976712781E-2</v>
      </c>
      <c r="K54" s="108">
        <f t="shared" si="14"/>
        <v>3.6457651976712781E-2</v>
      </c>
      <c r="L54" s="108">
        <f t="shared" si="14"/>
        <v>3.6457651976712781E-2</v>
      </c>
      <c r="M54" s="54" t="s">
        <v>4352</v>
      </c>
      <c r="N54" s="85" t="s">
        <v>4332</v>
      </c>
      <c r="O54" t="s">
        <v>4891</v>
      </c>
      <c r="P54" s="85">
        <f>P53/P52</f>
        <v>0.54500000000000004</v>
      </c>
      <c r="R54" s="1195">
        <v>1</v>
      </c>
      <c r="S54" s="1195">
        <v>1</v>
      </c>
      <c r="T54" s="1195">
        <v>1</v>
      </c>
      <c r="U54" s="1195">
        <v>1</v>
      </c>
      <c r="V54" s="1195">
        <v>1</v>
      </c>
      <c r="Z54" t="s">
        <v>4896</v>
      </c>
      <c r="AA54" t="s">
        <v>4897</v>
      </c>
      <c r="AB54">
        <v>60</v>
      </c>
      <c r="AC54" s="71">
        <v>388.31153990000001</v>
      </c>
    </row>
    <row r="55" spans="1:30" x14ac:dyDescent="0.25">
      <c r="A55" t="s">
        <v>1036</v>
      </c>
      <c r="B55" t="s">
        <v>2040</v>
      </c>
      <c r="C55" t="s">
        <v>95</v>
      </c>
      <c r="D55" t="s">
        <v>161</v>
      </c>
      <c r="E55" s="52">
        <v>2023</v>
      </c>
      <c r="F55" s="108">
        <f t="shared" si="15"/>
        <v>3.0010871205830705E-2</v>
      </c>
      <c r="G55" s="108">
        <f t="shared" si="16"/>
        <v>3.3234261591271741E-2</v>
      </c>
      <c r="H55" s="108">
        <f t="shared" si="17"/>
        <v>3.6457651976712781E-2</v>
      </c>
      <c r="I55" s="108">
        <f t="shared" si="18"/>
        <v>3.6457651976712781E-2</v>
      </c>
      <c r="J55" s="108">
        <f t="shared" si="14"/>
        <v>3.6457651976712781E-2</v>
      </c>
      <c r="K55" s="108">
        <f t="shared" si="14"/>
        <v>3.6457651976712781E-2</v>
      </c>
      <c r="L55" s="108">
        <f t="shared" si="14"/>
        <v>3.6457651976712781E-2</v>
      </c>
      <c r="M55" s="54" t="s">
        <v>4352</v>
      </c>
      <c r="N55" s="85" t="s">
        <v>4332</v>
      </c>
      <c r="O55" t="s">
        <v>4892</v>
      </c>
      <c r="P55" s="752">
        <f>P54</f>
        <v>0.54500000000000004</v>
      </c>
      <c r="R55" s="1195">
        <v>1</v>
      </c>
      <c r="S55" s="1195">
        <v>1</v>
      </c>
      <c r="T55" s="1195">
        <v>1</v>
      </c>
      <c r="U55" s="1195">
        <v>1</v>
      </c>
      <c r="V55" s="1195">
        <v>1</v>
      </c>
      <c r="Z55" t="s">
        <v>4896</v>
      </c>
      <c r="AA55" t="s">
        <v>4897</v>
      </c>
      <c r="AB55">
        <v>65</v>
      </c>
      <c r="AC55" s="71">
        <v>391.52174987000001</v>
      </c>
    </row>
    <row r="56" spans="1:30" x14ac:dyDescent="0.25">
      <c r="A56" t="s">
        <v>4392</v>
      </c>
      <c r="B56" t="s">
        <v>2040</v>
      </c>
      <c r="C56" t="s">
        <v>95</v>
      </c>
      <c r="D56" t="s">
        <v>161</v>
      </c>
      <c r="E56" s="52">
        <v>2023</v>
      </c>
      <c r="F56" s="108">
        <f t="shared" si="15"/>
        <v>3.0010871205830705E-2</v>
      </c>
      <c r="G56" s="108">
        <f t="shared" si="16"/>
        <v>3.3234261591271741E-2</v>
      </c>
      <c r="H56" s="108">
        <f t="shared" si="17"/>
        <v>3.6457651976712781E-2</v>
      </c>
      <c r="I56" s="108">
        <f t="shared" si="18"/>
        <v>3.6457651976712781E-2</v>
      </c>
      <c r="J56" s="108">
        <f t="shared" si="14"/>
        <v>3.6457651976712781E-2</v>
      </c>
      <c r="K56" s="108">
        <f t="shared" si="14"/>
        <v>3.6457651976712781E-2</v>
      </c>
      <c r="L56" s="108">
        <f t="shared" si="14"/>
        <v>3.6457651976712781E-2</v>
      </c>
      <c r="M56" s="54" t="s">
        <v>4352</v>
      </c>
      <c r="N56" s="85" t="s">
        <v>4332</v>
      </c>
      <c r="R56" s="1195">
        <v>1</v>
      </c>
      <c r="S56" s="1195">
        <v>1</v>
      </c>
      <c r="T56" s="1195">
        <v>1</v>
      </c>
      <c r="U56" s="1195">
        <v>1</v>
      </c>
      <c r="V56" s="1195">
        <v>1</v>
      </c>
      <c r="Z56" t="s">
        <v>4896</v>
      </c>
      <c r="AA56" t="s">
        <v>4897</v>
      </c>
      <c r="AB56">
        <v>70</v>
      </c>
      <c r="AC56" s="71">
        <v>395.16235488000001</v>
      </c>
    </row>
    <row r="57" spans="1:30" x14ac:dyDescent="0.25">
      <c r="A57" t="s">
        <v>1037</v>
      </c>
      <c r="B57" t="s">
        <v>2040</v>
      </c>
      <c r="C57" t="s">
        <v>95</v>
      </c>
      <c r="D57" t="s">
        <v>161</v>
      </c>
      <c r="E57" s="52">
        <v>2023</v>
      </c>
      <c r="F57" s="108">
        <f t="shared" si="15"/>
        <v>3.0010871205830705E-2</v>
      </c>
      <c r="G57" s="108">
        <f t="shared" si="16"/>
        <v>3.3234261591271741E-2</v>
      </c>
      <c r="H57" s="108">
        <f t="shared" si="17"/>
        <v>3.6457651976712781E-2</v>
      </c>
      <c r="I57" s="108">
        <f t="shared" si="18"/>
        <v>3.6457651976712781E-2</v>
      </c>
      <c r="J57" s="108">
        <f t="shared" si="14"/>
        <v>3.6457651976712781E-2</v>
      </c>
      <c r="K57" s="108">
        <f t="shared" si="14"/>
        <v>3.6457651976712781E-2</v>
      </c>
      <c r="L57" s="108">
        <f t="shared" si="14"/>
        <v>3.6457651976712781E-2</v>
      </c>
      <c r="M57" s="54" t="s">
        <v>4352</v>
      </c>
      <c r="N57" s="85" t="s">
        <v>4332</v>
      </c>
      <c r="R57" s="1195">
        <v>1</v>
      </c>
      <c r="S57" s="1195">
        <v>1</v>
      </c>
      <c r="T57" s="1195">
        <v>1</v>
      </c>
      <c r="U57" s="1195">
        <v>1</v>
      </c>
      <c r="V57" s="1195">
        <v>1</v>
      </c>
      <c r="Z57" t="s">
        <v>4896</v>
      </c>
      <c r="AA57" t="s">
        <v>4897</v>
      </c>
      <c r="AB57">
        <v>75</v>
      </c>
      <c r="AC57" s="71">
        <v>397.89142479999998</v>
      </c>
    </row>
    <row r="58" spans="1:30" x14ac:dyDescent="0.25">
      <c r="A58" t="s">
        <v>4397</v>
      </c>
      <c r="B58" t="s">
        <v>4763</v>
      </c>
      <c r="C58" t="s">
        <v>95</v>
      </c>
      <c r="D58" t="s">
        <v>161</v>
      </c>
      <c r="E58" s="52">
        <v>2023</v>
      </c>
      <c r="F58" s="108">
        <f t="shared" si="15"/>
        <v>1.6355924807177735E-2</v>
      </c>
      <c r="G58" s="108">
        <f t="shared" si="16"/>
        <v>1.81126725672431E-2</v>
      </c>
      <c r="H58" s="108">
        <f t="shared" si="17"/>
        <v>2.5398830877109903E-2</v>
      </c>
      <c r="I58" s="108">
        <f t="shared" si="18"/>
        <v>3.0928241426911342E-2</v>
      </c>
      <c r="J58" s="108">
        <f t="shared" si="14"/>
        <v>3.6457651976712781E-2</v>
      </c>
      <c r="K58" s="108">
        <f t="shared" si="14"/>
        <v>3.6457651976712781E-2</v>
      </c>
      <c r="L58" s="108">
        <f t="shared" si="14"/>
        <v>3.6457651976712781E-2</v>
      </c>
      <c r="M58" s="54" t="s">
        <v>4905</v>
      </c>
      <c r="N58" s="85" t="s">
        <v>4332</v>
      </c>
      <c r="R58" s="85">
        <f>$P$54</f>
        <v>0.54500000000000004</v>
      </c>
      <c r="S58" s="85">
        <f>$P$54</f>
        <v>0.54500000000000004</v>
      </c>
      <c r="T58" s="752">
        <f>($V58-$S58)/3 + S58</f>
        <v>0.69666666666666666</v>
      </c>
      <c r="U58" s="752">
        <f>($V58-$S58)/3 + T58</f>
        <v>0.84833333333333327</v>
      </c>
      <c r="V58" s="1195">
        <v>1</v>
      </c>
      <c r="Z58" t="s">
        <v>4896</v>
      </c>
      <c r="AA58" t="s">
        <v>4897</v>
      </c>
      <c r="AB58">
        <v>80</v>
      </c>
      <c r="AC58" s="71">
        <v>402.68657775999998</v>
      </c>
    </row>
    <row r="59" spans="1:30" x14ac:dyDescent="0.25">
      <c r="A59" t="s">
        <v>1038</v>
      </c>
      <c r="B59" t="s">
        <v>4763</v>
      </c>
      <c r="C59" t="s">
        <v>95</v>
      </c>
      <c r="D59" t="s">
        <v>161</v>
      </c>
      <c r="E59" s="52">
        <v>2023</v>
      </c>
      <c r="F59" s="108">
        <f t="shared" si="15"/>
        <v>1.6355924807177735E-2</v>
      </c>
      <c r="G59" s="108">
        <f t="shared" si="16"/>
        <v>1.81126725672431E-2</v>
      </c>
      <c r="H59" s="108">
        <f t="shared" si="17"/>
        <v>2.5398830877109903E-2</v>
      </c>
      <c r="I59" s="108">
        <f t="shared" si="18"/>
        <v>3.0928241426911342E-2</v>
      </c>
      <c r="J59" s="108">
        <f t="shared" si="14"/>
        <v>3.6457651976712781E-2</v>
      </c>
      <c r="K59" s="108">
        <f t="shared" si="14"/>
        <v>3.6457651976712781E-2</v>
      </c>
      <c r="L59" s="108">
        <f t="shared" si="14"/>
        <v>3.6457651976712781E-2</v>
      </c>
      <c r="M59" s="54" t="s">
        <v>4905</v>
      </c>
      <c r="N59" s="85" t="s">
        <v>4332</v>
      </c>
      <c r="R59" s="85">
        <f t="shared" ref="R59:S62" si="19">$P$54</f>
        <v>0.54500000000000004</v>
      </c>
      <c r="S59" s="85">
        <f t="shared" si="19"/>
        <v>0.54500000000000004</v>
      </c>
      <c r="T59" s="752">
        <f>($V59-$S59)/3 + S59</f>
        <v>0.69666666666666666</v>
      </c>
      <c r="U59" s="752">
        <f>($V59-$S59)/3 + T59</f>
        <v>0.84833333333333327</v>
      </c>
      <c r="V59" s="1195">
        <v>1</v>
      </c>
      <c r="Z59" t="s">
        <v>4896</v>
      </c>
      <c r="AA59" t="s">
        <v>4897</v>
      </c>
      <c r="AB59">
        <v>85</v>
      </c>
      <c r="AC59" s="71">
        <v>406.94012018500001</v>
      </c>
    </row>
    <row r="60" spans="1:30" x14ac:dyDescent="0.25">
      <c r="A60" t="s">
        <v>1039</v>
      </c>
      <c r="B60" t="s">
        <v>4763</v>
      </c>
      <c r="C60" t="s">
        <v>95</v>
      </c>
      <c r="D60" t="s">
        <v>161</v>
      </c>
      <c r="E60" s="52">
        <v>2023</v>
      </c>
      <c r="F60" s="108">
        <f t="shared" si="15"/>
        <v>1.6355924807177735E-2</v>
      </c>
      <c r="G60" s="108">
        <f t="shared" si="16"/>
        <v>1.81126725672431E-2</v>
      </c>
      <c r="H60" s="108">
        <f t="shared" si="17"/>
        <v>2.5398830877109903E-2</v>
      </c>
      <c r="I60" s="108">
        <f t="shared" si="18"/>
        <v>3.0928241426911342E-2</v>
      </c>
      <c r="J60" s="108">
        <f t="shared" si="14"/>
        <v>3.6457651976712781E-2</v>
      </c>
      <c r="K60" s="108">
        <f t="shared" si="14"/>
        <v>3.6457651976712781E-2</v>
      </c>
      <c r="L60" s="108">
        <f t="shared" si="14"/>
        <v>3.6457651976712781E-2</v>
      </c>
      <c r="M60" s="54" t="s">
        <v>4905</v>
      </c>
      <c r="N60" s="85" t="s">
        <v>4332</v>
      </c>
      <c r="R60" s="85">
        <f t="shared" si="19"/>
        <v>0.54500000000000004</v>
      </c>
      <c r="S60" s="85">
        <f t="shared" si="19"/>
        <v>0.54500000000000004</v>
      </c>
      <c r="T60" s="752">
        <f>($V60-$S60)/3 + S60</f>
        <v>0.69666666666666666</v>
      </c>
      <c r="U60" s="752">
        <f>($V60-$S60)/3 + T60</f>
        <v>0.84833333333333327</v>
      </c>
      <c r="V60" s="1195">
        <v>1</v>
      </c>
      <c r="Z60" t="s">
        <v>4896</v>
      </c>
      <c r="AA60" t="s">
        <v>4897</v>
      </c>
      <c r="AB60">
        <v>90</v>
      </c>
      <c r="AC60" s="71">
        <v>412.82571356</v>
      </c>
    </row>
    <row r="61" spans="1:30" x14ac:dyDescent="0.25">
      <c r="A61" t="s">
        <v>1040</v>
      </c>
      <c r="B61" t="s">
        <v>4763</v>
      </c>
      <c r="C61" t="s">
        <v>95</v>
      </c>
      <c r="D61" t="s">
        <v>161</v>
      </c>
      <c r="E61" s="52">
        <v>2023</v>
      </c>
      <c r="F61" s="108">
        <f t="shared" si="15"/>
        <v>1.6355924807177735E-2</v>
      </c>
      <c r="G61" s="108">
        <f t="shared" si="16"/>
        <v>1.81126725672431E-2</v>
      </c>
      <c r="H61" s="108">
        <f t="shared" si="17"/>
        <v>2.5398830877109903E-2</v>
      </c>
      <c r="I61" s="108">
        <f t="shared" si="18"/>
        <v>3.0928241426911342E-2</v>
      </c>
      <c r="J61" s="108">
        <f t="shared" si="14"/>
        <v>3.6457651976712781E-2</v>
      </c>
      <c r="K61" s="108">
        <f t="shared" si="14"/>
        <v>3.6457651976712781E-2</v>
      </c>
      <c r="L61" s="108">
        <f t="shared" si="14"/>
        <v>3.6457651976712781E-2</v>
      </c>
      <c r="M61" s="54" t="s">
        <v>4905</v>
      </c>
      <c r="N61" s="85" t="s">
        <v>4332</v>
      </c>
      <c r="R61" s="85">
        <f t="shared" si="19"/>
        <v>0.54500000000000004</v>
      </c>
      <c r="S61" s="85">
        <f t="shared" si="19"/>
        <v>0.54500000000000004</v>
      </c>
      <c r="T61" s="752">
        <f>($V61-$S61)/3 + S61</f>
        <v>0.69666666666666666</v>
      </c>
      <c r="U61" s="752">
        <f>($V61-$S61)/3 + T61</f>
        <v>0.84833333333333327</v>
      </c>
      <c r="V61" s="1195">
        <v>1</v>
      </c>
      <c r="Z61" t="s">
        <v>4896</v>
      </c>
      <c r="AA61" t="s">
        <v>4897</v>
      </c>
      <c r="AB61">
        <v>95</v>
      </c>
      <c r="AC61" s="71">
        <v>423.95246373999998</v>
      </c>
    </row>
    <row r="62" spans="1:30" s="202" customFormat="1" x14ac:dyDescent="0.25">
      <c r="A62" s="202" t="s">
        <v>4422</v>
      </c>
      <c r="B62" s="202" t="s">
        <v>2040</v>
      </c>
      <c r="C62" s="202" t="s">
        <v>95</v>
      </c>
      <c r="D62" s="202" t="s">
        <v>161</v>
      </c>
      <c r="E62" s="203">
        <v>2023</v>
      </c>
      <c r="F62" s="108">
        <f t="shared" si="15"/>
        <v>1.6355924807177735E-2</v>
      </c>
      <c r="G62" s="108">
        <f t="shared" si="16"/>
        <v>1.81126725672431E-2</v>
      </c>
      <c r="H62" s="108">
        <f t="shared" si="17"/>
        <v>2.5398830877109903E-2</v>
      </c>
      <c r="I62" s="108">
        <f t="shared" si="18"/>
        <v>3.0928241426911342E-2</v>
      </c>
      <c r="J62" s="871">
        <f t="shared" si="14"/>
        <v>3.6457651976712781E-2</v>
      </c>
      <c r="K62" s="871">
        <f t="shared" si="14"/>
        <v>3.6457651976712781E-2</v>
      </c>
      <c r="L62" s="871">
        <f t="shared" si="14"/>
        <v>3.6457651976712781E-2</v>
      </c>
      <c r="M62" s="54" t="s">
        <v>4905</v>
      </c>
      <c r="N62" s="598" t="s">
        <v>4332</v>
      </c>
      <c r="O62" s="205" t="s">
        <v>4868</v>
      </c>
      <c r="P62" s="205" t="s">
        <v>4903</v>
      </c>
      <c r="R62" s="85">
        <f t="shared" si="19"/>
        <v>0.54500000000000004</v>
      </c>
      <c r="S62" s="85">
        <f t="shared" si="19"/>
        <v>0.54500000000000004</v>
      </c>
      <c r="T62" s="752">
        <f>($V62-$S62)/3 + S62</f>
        <v>0.69666666666666666</v>
      </c>
      <c r="U62" s="752">
        <f>($V62-$S62)/3 + T62</f>
        <v>0.84833333333333327</v>
      </c>
      <c r="V62" s="1195">
        <v>1</v>
      </c>
      <c r="Z62" s="202" t="s">
        <v>4896</v>
      </c>
      <c r="AA62" s="202" t="s">
        <v>4897</v>
      </c>
      <c r="AB62" s="202">
        <v>99</v>
      </c>
      <c r="AC62" s="230">
        <v>543.93620584800055</v>
      </c>
    </row>
    <row r="63" spans="1:30" x14ac:dyDescent="0.25">
      <c r="A63" t="s">
        <v>1024</v>
      </c>
      <c r="B63" t="s">
        <v>2041</v>
      </c>
      <c r="C63" t="s">
        <v>95</v>
      </c>
      <c r="D63" t="s">
        <v>161</v>
      </c>
      <c r="E63" s="52">
        <v>2023</v>
      </c>
      <c r="F63" s="108">
        <f>$F$17*R63</f>
        <v>2.480386886575511E-2</v>
      </c>
      <c r="G63" s="108">
        <f>$G$17*S63</f>
        <v>2.6242254110702769E-2</v>
      </c>
      <c r="H63" s="108">
        <f>$H$17*T63</f>
        <v>2.7680639355650429E-2</v>
      </c>
      <c r="I63" s="108">
        <f>$H$17*U63</f>
        <v>2.7680639355650429E-2</v>
      </c>
      <c r="J63" s="108">
        <f t="shared" ref="J63:L63" si="20">$H$17</f>
        <v>2.7680639355650429E-2</v>
      </c>
      <c r="K63" s="108">
        <f t="shared" si="20"/>
        <v>2.7680639355650429E-2</v>
      </c>
      <c r="L63" s="108">
        <f t="shared" si="20"/>
        <v>2.7680639355650429E-2</v>
      </c>
      <c r="M63" s="54" t="s">
        <v>4352</v>
      </c>
      <c r="N63" s="85" t="s">
        <v>4332</v>
      </c>
      <c r="O63" t="s">
        <v>107</v>
      </c>
      <c r="P63">
        <v>245</v>
      </c>
      <c r="R63" s="1195">
        <v>1</v>
      </c>
      <c r="S63" s="1195">
        <v>1</v>
      </c>
      <c r="T63" s="1195">
        <v>1</v>
      </c>
      <c r="U63" s="1195">
        <v>1</v>
      </c>
      <c r="V63" s="1195">
        <v>1</v>
      </c>
      <c r="Z63" t="s">
        <v>4898</v>
      </c>
      <c r="AA63" t="s">
        <v>4897</v>
      </c>
      <c r="AB63">
        <v>5</v>
      </c>
      <c r="AC63" s="71">
        <v>306.64959528999998</v>
      </c>
    </row>
    <row r="64" spans="1:30" x14ac:dyDescent="0.25">
      <c r="A64" t="s">
        <v>1041</v>
      </c>
      <c r="B64" t="s">
        <v>2041</v>
      </c>
      <c r="C64" t="s">
        <v>95</v>
      </c>
      <c r="D64" t="s">
        <v>161</v>
      </c>
      <c r="E64" s="52">
        <v>2023</v>
      </c>
      <c r="F64" s="108">
        <f>$F$18*R64</f>
        <v>2.480386886575511E-2</v>
      </c>
      <c r="G64" s="108">
        <f>$G$18*S64</f>
        <v>2.6242254110702769E-2</v>
      </c>
      <c r="H64" s="108">
        <f>$H$18*T64</f>
        <v>2.7680639355650429E-2</v>
      </c>
      <c r="I64" s="108">
        <f>$H$18*U64</f>
        <v>2.7680639355650429E-2</v>
      </c>
      <c r="J64" s="108">
        <f t="shared" ref="J64:L69" si="21">$H$18</f>
        <v>2.7680639355650429E-2</v>
      </c>
      <c r="K64" s="108">
        <f t="shared" si="21"/>
        <v>2.7680639355650429E-2</v>
      </c>
      <c r="L64" s="108">
        <f t="shared" si="21"/>
        <v>2.7680639355650429E-2</v>
      </c>
      <c r="M64" s="54" t="s">
        <v>4781</v>
      </c>
      <c r="N64" s="85" t="s">
        <v>4332</v>
      </c>
      <c r="O64" s="202" t="s">
        <v>4890</v>
      </c>
      <c r="P64" s="202">
        <v>103</v>
      </c>
      <c r="R64" s="1195">
        <v>1</v>
      </c>
      <c r="S64" s="1195">
        <v>1</v>
      </c>
      <c r="T64" s="1195">
        <v>1</v>
      </c>
      <c r="U64" s="1195">
        <v>1</v>
      </c>
      <c r="V64" s="1195">
        <v>1</v>
      </c>
      <c r="Z64" t="s">
        <v>4898</v>
      </c>
      <c r="AA64" t="s">
        <v>4897</v>
      </c>
      <c r="AB64">
        <v>10</v>
      </c>
      <c r="AC64" s="71">
        <v>339.29870814999998</v>
      </c>
    </row>
    <row r="65" spans="1:30" x14ac:dyDescent="0.25">
      <c r="A65" t="s">
        <v>1043</v>
      </c>
      <c r="B65" t="s">
        <v>2041</v>
      </c>
      <c r="C65" t="s">
        <v>95</v>
      </c>
      <c r="D65" t="s">
        <v>161</v>
      </c>
      <c r="E65" s="52">
        <v>2023</v>
      </c>
      <c r="F65" s="108">
        <f>$F$18*R65</f>
        <v>2.480386886575511E-2</v>
      </c>
      <c r="G65" s="108">
        <f>$G$18*S65</f>
        <v>2.6242254110702769E-2</v>
      </c>
      <c r="H65" s="108">
        <f>$H$18*T65</f>
        <v>2.7680639355650429E-2</v>
      </c>
      <c r="I65" s="108">
        <f>$H$18*U65</f>
        <v>2.7680639355650429E-2</v>
      </c>
      <c r="J65" s="108">
        <f t="shared" si="21"/>
        <v>2.7680639355650429E-2</v>
      </c>
      <c r="K65" s="108">
        <f t="shared" si="21"/>
        <v>2.7680639355650429E-2</v>
      </c>
      <c r="L65" s="108">
        <f t="shared" si="21"/>
        <v>2.7680639355650429E-2</v>
      </c>
      <c r="M65" s="54" t="s">
        <v>4781</v>
      </c>
      <c r="N65" s="85" t="s">
        <v>4332</v>
      </c>
      <c r="O65" t="s">
        <v>4891</v>
      </c>
      <c r="P65" s="85">
        <f>P64/P63</f>
        <v>0.42040816326530611</v>
      </c>
      <c r="R65" s="1195">
        <v>1</v>
      </c>
      <c r="S65" s="1195">
        <v>1</v>
      </c>
      <c r="T65" s="1195">
        <v>1</v>
      </c>
      <c r="U65" s="1195">
        <v>1</v>
      </c>
      <c r="V65" s="1195">
        <v>1</v>
      </c>
      <c r="Z65" t="s">
        <v>4898</v>
      </c>
      <c r="AA65" t="s">
        <v>4897</v>
      </c>
      <c r="AB65">
        <v>15</v>
      </c>
      <c r="AC65" s="71">
        <v>345.86640075000003</v>
      </c>
    </row>
    <row r="66" spans="1:30" x14ac:dyDescent="0.25">
      <c r="A66" t="s">
        <v>1044</v>
      </c>
      <c r="B66" t="s">
        <v>2041</v>
      </c>
      <c r="C66" t="s">
        <v>95</v>
      </c>
      <c r="D66" t="s">
        <v>161</v>
      </c>
      <c r="E66" s="52">
        <v>2023</v>
      </c>
      <c r="F66" s="108">
        <f>$F$18*R66</f>
        <v>2.480386886575511E-2</v>
      </c>
      <c r="G66" s="108">
        <f>$G$18*S66</f>
        <v>2.6242254110702769E-2</v>
      </c>
      <c r="H66" s="108">
        <f>$H$18*T66</f>
        <v>2.7680639355650429E-2</v>
      </c>
      <c r="I66" s="108">
        <f>$H$18*U66</f>
        <v>2.7680639355650429E-2</v>
      </c>
      <c r="J66" s="108">
        <f t="shared" si="21"/>
        <v>2.7680639355650429E-2</v>
      </c>
      <c r="K66" s="108">
        <f t="shared" si="21"/>
        <v>2.7680639355650429E-2</v>
      </c>
      <c r="L66" s="108">
        <f t="shared" si="21"/>
        <v>2.7680639355650429E-2</v>
      </c>
      <c r="M66" s="54" t="s">
        <v>4781</v>
      </c>
      <c r="N66" s="85" t="s">
        <v>4332</v>
      </c>
      <c r="O66" t="s">
        <v>4892</v>
      </c>
      <c r="P66" s="752">
        <f>P65</f>
        <v>0.42040816326530611</v>
      </c>
      <c r="R66" s="1195">
        <v>1</v>
      </c>
      <c r="S66" s="1195">
        <v>1</v>
      </c>
      <c r="T66" s="1195">
        <v>1</v>
      </c>
      <c r="U66" s="1195">
        <v>1</v>
      </c>
      <c r="V66" s="1195">
        <v>1</v>
      </c>
      <c r="Z66" t="s">
        <v>4898</v>
      </c>
      <c r="AA66" t="s">
        <v>4897</v>
      </c>
      <c r="AB66">
        <v>20</v>
      </c>
      <c r="AC66" s="71">
        <v>358.79123535999997</v>
      </c>
    </row>
    <row r="67" spans="1:30" x14ac:dyDescent="0.25">
      <c r="A67" t="s">
        <v>1071</v>
      </c>
      <c r="B67" t="s">
        <v>2041</v>
      </c>
      <c r="C67" t="s">
        <v>95</v>
      </c>
      <c r="D67" t="s">
        <v>161</v>
      </c>
      <c r="E67" s="52">
        <v>2023</v>
      </c>
      <c r="F67" s="108">
        <f>$F$18*R67</f>
        <v>1.0427748951725617E-2</v>
      </c>
      <c r="G67" s="108">
        <f>$G$18*S67</f>
        <v>1.103245785062198E-2</v>
      </c>
      <c r="H67" s="108">
        <f>$H$18*T67</f>
        <v>1.6984990951562372E-2</v>
      </c>
      <c r="I67" s="108">
        <f>$H$18*U67</f>
        <v>2.2332815153606401E-2</v>
      </c>
      <c r="J67" s="108">
        <f t="shared" si="21"/>
        <v>2.7680639355650429E-2</v>
      </c>
      <c r="K67" s="108">
        <f t="shared" si="21"/>
        <v>2.7680639355650429E-2</v>
      </c>
      <c r="L67" s="108">
        <f t="shared" si="21"/>
        <v>2.7680639355650429E-2</v>
      </c>
      <c r="M67" s="54" t="s">
        <v>4905</v>
      </c>
      <c r="N67" s="85" t="s">
        <v>4332</v>
      </c>
      <c r="R67" s="752">
        <f>$P$65</f>
        <v>0.42040816326530611</v>
      </c>
      <c r="S67" s="752">
        <f>$P$65</f>
        <v>0.42040816326530611</v>
      </c>
      <c r="T67" s="752">
        <f>($V67-$S67)/3 + S67</f>
        <v>0.61360544217687074</v>
      </c>
      <c r="U67" s="752">
        <f>($V67-$S67)/3 + T67</f>
        <v>0.80680272108843543</v>
      </c>
      <c r="V67" s="1195">
        <v>1</v>
      </c>
      <c r="Z67" t="s">
        <v>4898</v>
      </c>
      <c r="AA67" t="s">
        <v>4897</v>
      </c>
      <c r="AB67">
        <v>25</v>
      </c>
      <c r="AC67" s="71">
        <v>389.83534774999998</v>
      </c>
    </row>
    <row r="68" spans="1:30" x14ac:dyDescent="0.25">
      <c r="A68" t="s">
        <v>1072</v>
      </c>
      <c r="B68" t="s">
        <v>2041</v>
      </c>
      <c r="C68" t="s">
        <v>95</v>
      </c>
      <c r="D68" t="s">
        <v>161</v>
      </c>
      <c r="E68" s="52">
        <v>2023</v>
      </c>
      <c r="F68" s="108">
        <f>$F$18*R68</f>
        <v>1.0427748951725617E-2</v>
      </c>
      <c r="G68" s="108">
        <f>$G$18*S68</f>
        <v>1.103245785062198E-2</v>
      </c>
      <c r="H68" s="108">
        <f>$H$18*T68</f>
        <v>1.6984990951562372E-2</v>
      </c>
      <c r="I68" s="108">
        <f>$H$18*U68</f>
        <v>2.2332815153606401E-2</v>
      </c>
      <c r="J68" s="108">
        <f t="shared" si="21"/>
        <v>2.7680639355650429E-2</v>
      </c>
      <c r="K68" s="108">
        <f t="shared" si="21"/>
        <v>2.7680639355650429E-2</v>
      </c>
      <c r="L68" s="108">
        <f t="shared" si="21"/>
        <v>2.7680639355650429E-2</v>
      </c>
      <c r="M68" s="54" t="s">
        <v>4905</v>
      </c>
      <c r="N68" s="85" t="s">
        <v>4332</v>
      </c>
      <c r="R68" s="752">
        <f t="shared" ref="R68:S69" si="22">$P$65</f>
        <v>0.42040816326530611</v>
      </c>
      <c r="S68" s="752">
        <f t="shared" si="22"/>
        <v>0.42040816326530611</v>
      </c>
      <c r="T68" s="752">
        <f>($V68-$S68)/3 + S68</f>
        <v>0.61360544217687074</v>
      </c>
      <c r="U68" s="752">
        <f>($V68-$S68)/3 + T68</f>
        <v>0.80680272108843543</v>
      </c>
      <c r="V68" s="1195">
        <v>1</v>
      </c>
      <c r="Z68" t="s">
        <v>4898</v>
      </c>
      <c r="AA68" t="s">
        <v>4897</v>
      </c>
      <c r="AB68">
        <v>30</v>
      </c>
      <c r="AC68" s="71">
        <v>411.79348313000003</v>
      </c>
    </row>
    <row r="69" spans="1:30" s="202" customFormat="1" x14ac:dyDescent="0.25">
      <c r="A69" s="202" t="s">
        <v>1073</v>
      </c>
      <c r="B69" s="202" t="s">
        <v>2041</v>
      </c>
      <c r="C69" s="202" t="s">
        <v>95</v>
      </c>
      <c r="D69" s="202" t="s">
        <v>161</v>
      </c>
      <c r="E69" s="203">
        <v>2023</v>
      </c>
      <c r="F69" s="108">
        <f>$F$18*R69</f>
        <v>1.0427748951725617E-2</v>
      </c>
      <c r="G69" s="108">
        <f>$G$18*S69</f>
        <v>1.103245785062198E-2</v>
      </c>
      <c r="H69" s="108">
        <f>$H$18*T69</f>
        <v>1.6984990951562372E-2</v>
      </c>
      <c r="I69" s="108">
        <f>$H$18*U69</f>
        <v>2.2332815153606401E-2</v>
      </c>
      <c r="J69" s="871">
        <f t="shared" si="21"/>
        <v>2.7680639355650429E-2</v>
      </c>
      <c r="K69" s="871">
        <f t="shared" si="21"/>
        <v>2.7680639355650429E-2</v>
      </c>
      <c r="L69" s="871">
        <f t="shared" si="21"/>
        <v>2.7680639355650429E-2</v>
      </c>
      <c r="M69" s="54" t="s">
        <v>4905</v>
      </c>
      <c r="N69" s="598" t="s">
        <v>4332</v>
      </c>
      <c r="O69" s="205" t="s">
        <v>4868</v>
      </c>
      <c r="P69" s="205" t="s">
        <v>4903</v>
      </c>
      <c r="R69" s="752">
        <f t="shared" si="22"/>
        <v>0.42040816326530611</v>
      </c>
      <c r="S69" s="752">
        <f t="shared" si="22"/>
        <v>0.42040816326530611</v>
      </c>
      <c r="T69" s="752">
        <f>($V69-$S69)/3 + S69</f>
        <v>0.61360544217687074</v>
      </c>
      <c r="U69" s="752">
        <f>($V69-$S69)/3 + T69</f>
        <v>0.80680272108843543</v>
      </c>
      <c r="V69" s="1195">
        <v>1</v>
      </c>
      <c r="Z69" s="202" t="s">
        <v>4898</v>
      </c>
      <c r="AA69" s="202" t="s">
        <v>4897</v>
      </c>
      <c r="AB69" s="202">
        <v>35</v>
      </c>
      <c r="AC69" s="230">
        <v>423.119599225</v>
      </c>
    </row>
    <row r="70" spans="1:30" ht="15.75" thickBot="1" x14ac:dyDescent="0.3">
      <c r="A70" t="s">
        <v>1074</v>
      </c>
      <c r="B70" t="s">
        <v>2042</v>
      </c>
      <c r="C70" t="s">
        <v>95</v>
      </c>
      <c r="D70" t="s">
        <v>161</v>
      </c>
      <c r="E70" s="52">
        <v>2023</v>
      </c>
      <c r="F70" s="108">
        <f>$F$19*R70</f>
        <v>0.19108640501455898</v>
      </c>
      <c r="G70" s="108">
        <f>$G$19*S70</f>
        <v>0.20724494237402108</v>
      </c>
      <c r="H70" s="108">
        <f>$H$19*T70</f>
        <v>0.22340347973348315</v>
      </c>
      <c r="I70" s="108">
        <f>$H$19*U70</f>
        <v>0.22340347973348315</v>
      </c>
      <c r="J70" s="108">
        <f t="shared" ref="H70:L75" si="23">$H$19</f>
        <v>0.22340347973348315</v>
      </c>
      <c r="K70" s="108">
        <f t="shared" si="23"/>
        <v>0.22340347973348315</v>
      </c>
      <c r="L70" s="108">
        <f t="shared" si="23"/>
        <v>0.22340347973348315</v>
      </c>
      <c r="M70" s="54" t="s">
        <v>4352</v>
      </c>
      <c r="N70" s="85" t="s">
        <v>4332</v>
      </c>
      <c r="O70" t="s">
        <v>107</v>
      </c>
      <c r="P70">
        <v>494</v>
      </c>
      <c r="R70" s="1195">
        <v>1</v>
      </c>
      <c r="S70" s="1195">
        <v>1</v>
      </c>
      <c r="T70" s="1195">
        <v>1</v>
      </c>
      <c r="U70" s="1195">
        <v>1</v>
      </c>
      <c r="V70" s="1195">
        <v>1</v>
      </c>
      <c r="Z70" t="s">
        <v>4898</v>
      </c>
      <c r="AA70" t="s">
        <v>4897</v>
      </c>
      <c r="AB70">
        <v>40</v>
      </c>
      <c r="AC70" s="71">
        <v>436.25729910000001</v>
      </c>
    </row>
    <row r="71" spans="1:30" x14ac:dyDescent="0.25">
      <c r="A71" t="s">
        <v>1075</v>
      </c>
      <c r="B71" t="s">
        <v>2042</v>
      </c>
      <c r="C71" t="s">
        <v>95</v>
      </c>
      <c r="D71" t="s">
        <v>161</v>
      </c>
      <c r="E71" s="52">
        <v>2023</v>
      </c>
      <c r="F71" s="108">
        <f>$F$19*R71</f>
        <v>0.19108640501455898</v>
      </c>
      <c r="G71" s="108">
        <f>$G$19*S71</f>
        <v>0.20724494237402108</v>
      </c>
      <c r="H71" s="108">
        <f>$H$19*T71</f>
        <v>0.22340347973348315</v>
      </c>
      <c r="I71" s="108">
        <f>$H$19*U71</f>
        <v>0.22340347973348315</v>
      </c>
      <c r="J71" s="108">
        <f t="shared" si="23"/>
        <v>0.22340347973348315</v>
      </c>
      <c r="K71" s="108">
        <f t="shared" si="23"/>
        <v>0.22340347973348315</v>
      </c>
      <c r="L71" s="108">
        <f t="shared" si="23"/>
        <v>0.22340347973348315</v>
      </c>
      <c r="M71" s="54" t="s">
        <v>4352</v>
      </c>
      <c r="N71" s="85" t="s">
        <v>4332</v>
      </c>
      <c r="O71" s="202" t="s">
        <v>4890</v>
      </c>
      <c r="P71" s="202">
        <v>375</v>
      </c>
      <c r="R71" s="1195">
        <v>1</v>
      </c>
      <c r="S71" s="1195">
        <v>1</v>
      </c>
      <c r="T71" s="1195">
        <v>1</v>
      </c>
      <c r="U71" s="1195">
        <v>1</v>
      </c>
      <c r="V71" s="1195">
        <v>1</v>
      </c>
      <c r="Z71" t="s">
        <v>4898</v>
      </c>
      <c r="AA71" t="s">
        <v>4897</v>
      </c>
      <c r="AB71">
        <v>45</v>
      </c>
      <c r="AC71" s="71">
        <v>454.72624383499999</v>
      </c>
      <c r="AD71" s="1192" t="s">
        <v>4902</v>
      </c>
    </row>
    <row r="72" spans="1:30" ht="15.75" thickBot="1" x14ac:dyDescent="0.3">
      <c r="A72" t="s">
        <v>1076</v>
      </c>
      <c r="B72" t="s">
        <v>2042</v>
      </c>
      <c r="C72" t="s">
        <v>95</v>
      </c>
      <c r="D72" t="s">
        <v>161</v>
      </c>
      <c r="E72" s="52">
        <v>2023</v>
      </c>
      <c r="F72" s="108">
        <f>$F$19*R72</f>
        <v>0.19108640501455898</v>
      </c>
      <c r="G72" s="108">
        <f>$G$19*S72</f>
        <v>0.20724494237402108</v>
      </c>
      <c r="H72" s="108">
        <f>$H$19*T72</f>
        <v>0.22340347973348315</v>
      </c>
      <c r="I72" s="108">
        <f>$H$19*U72</f>
        <v>0.22340347973348315</v>
      </c>
      <c r="J72" s="108">
        <f t="shared" si="23"/>
        <v>0.22340347973348315</v>
      </c>
      <c r="K72" s="108">
        <f t="shared" si="23"/>
        <v>0.22340347973348315</v>
      </c>
      <c r="L72" s="108">
        <f t="shared" si="23"/>
        <v>0.22340347973348315</v>
      </c>
      <c r="M72" s="54" t="s">
        <v>4352</v>
      </c>
      <c r="N72" s="85" t="s">
        <v>4332</v>
      </c>
      <c r="O72" t="s">
        <v>4891</v>
      </c>
      <c r="P72" s="85">
        <f>P71/P70</f>
        <v>0.75910931174089069</v>
      </c>
      <c r="R72" s="1195">
        <v>1</v>
      </c>
      <c r="S72" s="1195">
        <v>1</v>
      </c>
      <c r="T72" s="1195">
        <v>1</v>
      </c>
      <c r="U72" s="1195">
        <v>1</v>
      </c>
      <c r="V72" s="1195">
        <v>1</v>
      </c>
      <c r="Z72" t="s">
        <v>4898</v>
      </c>
      <c r="AA72" t="s">
        <v>4897</v>
      </c>
      <c r="AB72">
        <v>50</v>
      </c>
      <c r="AC72" s="71">
        <v>509.21294264999989</v>
      </c>
      <c r="AD72" s="1193">
        <f>AVERAGE(AC63:AC81)</f>
        <v>493.64995124473688</v>
      </c>
    </row>
    <row r="73" spans="1:30" x14ac:dyDescent="0.25">
      <c r="A73" t="s">
        <v>1077</v>
      </c>
      <c r="B73" t="s">
        <v>2042</v>
      </c>
      <c r="C73" t="s">
        <v>95</v>
      </c>
      <c r="D73" t="s">
        <v>161</v>
      </c>
      <c r="E73" s="52">
        <v>2023</v>
      </c>
      <c r="F73" s="108">
        <f>$F$19*R73</f>
        <v>0.14505546939364294</v>
      </c>
      <c r="G73" s="108">
        <f>$G$19*S73</f>
        <v>0.15732156556732368</v>
      </c>
      <c r="H73" s="108">
        <f>$H$19*T73</f>
        <v>0.18752626773849734</v>
      </c>
      <c r="I73" s="108">
        <f>$H$19*U73</f>
        <v>0.20546487373599026</v>
      </c>
      <c r="J73" s="108">
        <f t="shared" si="23"/>
        <v>0.22340347973348315</v>
      </c>
      <c r="K73" s="108">
        <f t="shared" si="23"/>
        <v>0.22340347973348315</v>
      </c>
      <c r="L73" s="108">
        <f t="shared" si="23"/>
        <v>0.22340347973348315</v>
      </c>
      <c r="M73" s="54" t="s">
        <v>4905</v>
      </c>
      <c r="N73" s="85" t="s">
        <v>4332</v>
      </c>
      <c r="O73" t="s">
        <v>4892</v>
      </c>
      <c r="P73" s="752">
        <f>P72</f>
        <v>0.75910931174089069</v>
      </c>
      <c r="R73" s="752">
        <f>$P$73</f>
        <v>0.75910931174089069</v>
      </c>
      <c r="S73" s="752">
        <f>$P$73</f>
        <v>0.75910931174089069</v>
      </c>
      <c r="T73" s="752">
        <f>($V73-$S73)/3 + S73</f>
        <v>0.8394062078272605</v>
      </c>
      <c r="U73" s="752">
        <f>($V73-$S73)/3 + T73</f>
        <v>0.9197031039136303</v>
      </c>
      <c r="V73" s="1195">
        <v>1</v>
      </c>
      <c r="Z73" t="s">
        <v>4898</v>
      </c>
      <c r="AA73" t="s">
        <v>4897</v>
      </c>
      <c r="AB73">
        <v>55</v>
      </c>
      <c r="AC73" s="71">
        <v>524.15577721500006</v>
      </c>
    </row>
    <row r="74" spans="1:30" x14ac:dyDescent="0.25">
      <c r="A74" t="s">
        <v>1078</v>
      </c>
      <c r="B74" t="s">
        <v>2042</v>
      </c>
      <c r="C74" t="s">
        <v>95</v>
      </c>
      <c r="D74" t="s">
        <v>161</v>
      </c>
      <c r="E74" s="52">
        <v>2023</v>
      </c>
      <c r="F74" s="108">
        <f>$F$19*R74</f>
        <v>0.14505546939364294</v>
      </c>
      <c r="G74" s="108">
        <f>$G$19*S74</f>
        <v>0.15732156556732368</v>
      </c>
      <c r="H74" s="108">
        <f>$H$19*T74</f>
        <v>0.18752626773849734</v>
      </c>
      <c r="I74" s="108">
        <f>$H$19*U74</f>
        <v>0.20546487373599026</v>
      </c>
      <c r="J74" s="108">
        <f t="shared" si="23"/>
        <v>0.22340347973348315</v>
      </c>
      <c r="K74" s="108">
        <f t="shared" si="23"/>
        <v>0.22340347973348315</v>
      </c>
      <c r="L74" s="108">
        <f t="shared" si="23"/>
        <v>0.22340347973348315</v>
      </c>
      <c r="M74" s="54" t="s">
        <v>4905</v>
      </c>
      <c r="N74" s="85" t="s">
        <v>4332</v>
      </c>
      <c r="R74" s="752">
        <f t="shared" ref="R74:S75" si="24">$P$73</f>
        <v>0.75910931174089069</v>
      </c>
      <c r="S74" s="752">
        <f t="shared" si="24"/>
        <v>0.75910931174089069</v>
      </c>
      <c r="T74" s="752">
        <f>($V74-$S74)/3 + S74</f>
        <v>0.8394062078272605</v>
      </c>
      <c r="U74" s="752">
        <f>($V74-$S74)/3 + T74</f>
        <v>0.9197031039136303</v>
      </c>
      <c r="V74" s="1195">
        <v>1</v>
      </c>
      <c r="Z74" t="s">
        <v>4898</v>
      </c>
      <c r="AA74" t="s">
        <v>4897</v>
      </c>
      <c r="AB74">
        <v>60</v>
      </c>
      <c r="AC74" s="71">
        <v>531.47167391999994</v>
      </c>
    </row>
    <row r="75" spans="1:30" s="202" customFormat="1" x14ac:dyDescent="0.25">
      <c r="A75" s="202" t="s">
        <v>1079</v>
      </c>
      <c r="B75" s="202" t="s">
        <v>2042</v>
      </c>
      <c r="C75" s="202" t="s">
        <v>95</v>
      </c>
      <c r="D75" s="202" t="s">
        <v>161</v>
      </c>
      <c r="E75" s="203">
        <v>2023</v>
      </c>
      <c r="F75" s="108">
        <f>$F$19*R75</f>
        <v>0.14505546939364294</v>
      </c>
      <c r="G75" s="108">
        <f>$G$19*S75</f>
        <v>0.15732156556732368</v>
      </c>
      <c r="H75" s="108">
        <f>$H$19*T75</f>
        <v>0.18752626773849734</v>
      </c>
      <c r="I75" s="108">
        <f>$H$19*U75</f>
        <v>0.20546487373599026</v>
      </c>
      <c r="J75" s="871">
        <f t="shared" si="23"/>
        <v>0.22340347973348315</v>
      </c>
      <c r="K75" s="871">
        <f t="shared" si="23"/>
        <v>0.22340347973348315</v>
      </c>
      <c r="L75" s="871">
        <f t="shared" si="23"/>
        <v>0.22340347973348315</v>
      </c>
      <c r="M75" s="54" t="s">
        <v>4905</v>
      </c>
      <c r="N75" s="598" t="s">
        <v>4332</v>
      </c>
      <c r="R75" s="752">
        <f t="shared" si="24"/>
        <v>0.75910931174089069</v>
      </c>
      <c r="S75" s="752">
        <f t="shared" si="24"/>
        <v>0.75910931174089069</v>
      </c>
      <c r="T75" s="752">
        <f>($V75-$S75)/3 + S75</f>
        <v>0.8394062078272605</v>
      </c>
      <c r="U75" s="752">
        <f>($V75-$S75)/3 + T75</f>
        <v>0.9197031039136303</v>
      </c>
      <c r="V75" s="1195">
        <v>1</v>
      </c>
      <c r="Z75" s="202" t="s">
        <v>4898</v>
      </c>
      <c r="AA75" s="202" t="s">
        <v>4897</v>
      </c>
      <c r="AB75" s="202">
        <v>65</v>
      </c>
      <c r="AC75" s="230">
        <v>549.82193931999996</v>
      </c>
    </row>
    <row r="76" spans="1:30"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4352</v>
      </c>
      <c r="N76" s="85" t="s">
        <v>4332</v>
      </c>
      <c r="Z76" t="s">
        <v>4898</v>
      </c>
      <c r="AA76" t="s">
        <v>4897</v>
      </c>
      <c r="AB76">
        <v>70</v>
      </c>
      <c r="AC76" s="71">
        <v>584.75194865999993</v>
      </c>
    </row>
    <row r="77" spans="1:30" s="202" customFormat="1" x14ac:dyDescent="0.25">
      <c r="A77" s="202" t="s">
        <v>1082</v>
      </c>
      <c r="B77" s="202" t="s">
        <v>4764</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4352</v>
      </c>
      <c r="N77" s="598" t="s">
        <v>4332</v>
      </c>
      <c r="Z77" s="202" t="s">
        <v>4898</v>
      </c>
      <c r="AA77" s="202" t="s">
        <v>4897</v>
      </c>
      <c r="AB77" s="202">
        <v>75</v>
      </c>
      <c r="AC77" s="230">
        <v>599.78944450000006</v>
      </c>
    </row>
    <row r="78" spans="1:30"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4352</v>
      </c>
      <c r="N78" s="85" t="s">
        <v>4332</v>
      </c>
      <c r="Z78" t="s">
        <v>4898</v>
      </c>
      <c r="AA78" t="s">
        <v>4897</v>
      </c>
      <c r="AB78">
        <v>80</v>
      </c>
      <c r="AC78" s="71">
        <v>609.87079015999996</v>
      </c>
    </row>
    <row r="79" spans="1:30"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4352</v>
      </c>
      <c r="N79" s="85" t="s">
        <v>4332</v>
      </c>
      <c r="Z79" t="s">
        <v>4898</v>
      </c>
      <c r="AA79" t="s">
        <v>4897</v>
      </c>
      <c r="AB79">
        <v>85</v>
      </c>
      <c r="AC79" s="71">
        <v>636.14377034500001</v>
      </c>
    </row>
    <row r="80" spans="1:30"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4352</v>
      </c>
      <c r="N80" s="85" t="s">
        <v>4332</v>
      </c>
      <c r="Z80" t="s">
        <v>4898</v>
      </c>
      <c r="AA80" t="s">
        <v>4897</v>
      </c>
      <c r="AB80">
        <v>90</v>
      </c>
      <c r="AC80" s="71">
        <v>664.00339847000009</v>
      </c>
    </row>
    <row r="81" spans="1:30"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4352</v>
      </c>
      <c r="N81" s="85" t="s">
        <v>4332</v>
      </c>
      <c r="Z81" t="s">
        <v>4898</v>
      </c>
      <c r="AA81" t="s">
        <v>4897</v>
      </c>
      <c r="AB81">
        <v>95</v>
      </c>
      <c r="AC81" s="71">
        <v>703.78947581999989</v>
      </c>
    </row>
    <row r="82" spans="1:30"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4352</v>
      </c>
      <c r="N82" s="85" t="s">
        <v>4332</v>
      </c>
      <c r="Z82" t="s">
        <v>4898</v>
      </c>
      <c r="AA82" t="s">
        <v>4897</v>
      </c>
      <c r="AB82">
        <v>99</v>
      </c>
      <c r="AC82" s="71">
        <v>726.01893212300001</v>
      </c>
    </row>
    <row r="83" spans="1:30"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4352</v>
      </c>
      <c r="N83" s="85" t="s">
        <v>4332</v>
      </c>
      <c r="Z83" t="s">
        <v>4896</v>
      </c>
      <c r="AA83" t="s">
        <v>4899</v>
      </c>
      <c r="AB83">
        <v>5</v>
      </c>
      <c r="AC83" s="71">
        <v>32.896535245000003</v>
      </c>
    </row>
    <row r="84" spans="1:30"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4352</v>
      </c>
      <c r="N84" s="85" t="s">
        <v>4332</v>
      </c>
      <c r="Z84" t="s">
        <v>4896</v>
      </c>
      <c r="AA84" t="s">
        <v>4899</v>
      </c>
      <c r="AB84">
        <v>10</v>
      </c>
      <c r="AC84" s="71">
        <v>43.58823529</v>
      </c>
    </row>
    <row r="85" spans="1:30"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4352</v>
      </c>
      <c r="N85" s="598" t="s">
        <v>4332</v>
      </c>
      <c r="Z85" s="202" t="s">
        <v>4896</v>
      </c>
      <c r="AA85" s="202" t="s">
        <v>4899</v>
      </c>
      <c r="AB85" s="202">
        <v>15</v>
      </c>
      <c r="AC85" s="230">
        <v>52.076019144999997</v>
      </c>
    </row>
    <row r="86" spans="1:30"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4352</v>
      </c>
      <c r="N86" s="85" t="s">
        <v>4332</v>
      </c>
      <c r="Z86" t="s">
        <v>4896</v>
      </c>
      <c r="AA86" t="s">
        <v>4899</v>
      </c>
      <c r="AB86">
        <v>20</v>
      </c>
      <c r="AC86" s="71">
        <v>59.606896550000002</v>
      </c>
    </row>
    <row r="87" spans="1:30"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4352</v>
      </c>
      <c r="N87" s="85" t="s">
        <v>4332</v>
      </c>
      <c r="Z87" t="s">
        <v>4896</v>
      </c>
      <c r="AA87" t="s">
        <v>4899</v>
      </c>
      <c r="AB87">
        <v>25</v>
      </c>
      <c r="AC87" s="71">
        <v>66.46084952999999</v>
      </c>
    </row>
    <row r="88" spans="1:30"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4352</v>
      </c>
      <c r="N88" s="85" t="s">
        <v>4332</v>
      </c>
      <c r="Z88" t="s">
        <v>4896</v>
      </c>
      <c r="AA88" t="s">
        <v>4899</v>
      </c>
      <c r="AB88">
        <v>30</v>
      </c>
      <c r="AC88" s="71">
        <v>73.166304350000004</v>
      </c>
    </row>
    <row r="89" spans="1:30"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4352</v>
      </c>
      <c r="N89" s="85" t="s">
        <v>4332</v>
      </c>
      <c r="Z89" t="s">
        <v>4896</v>
      </c>
      <c r="AA89" t="s">
        <v>4899</v>
      </c>
      <c r="AB89">
        <v>35</v>
      </c>
      <c r="AC89" s="71">
        <v>79.803790164999995</v>
      </c>
    </row>
    <row r="90" spans="1:30" ht="15.75" thickBot="1" x14ac:dyDescent="0.3">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4352</v>
      </c>
      <c r="N90" s="85" t="s">
        <v>4332</v>
      </c>
      <c r="Z90" t="s">
        <v>4896</v>
      </c>
      <c r="AA90" t="s">
        <v>4899</v>
      </c>
      <c r="AB90">
        <v>40</v>
      </c>
      <c r="AC90" s="71">
        <v>86.510067109999994</v>
      </c>
    </row>
    <row r="91" spans="1:30"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4352</v>
      </c>
      <c r="N91" s="85" t="s">
        <v>4332</v>
      </c>
      <c r="Z91" t="s">
        <v>4896</v>
      </c>
      <c r="AA91" t="s">
        <v>4899</v>
      </c>
      <c r="AB91">
        <v>45</v>
      </c>
      <c r="AC91" s="71">
        <v>93.14194139</v>
      </c>
      <c r="AD91" s="1192" t="s">
        <v>4902</v>
      </c>
    </row>
    <row r="92" spans="1:30" ht="15.75" thickBot="1" x14ac:dyDescent="0.3">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4352</v>
      </c>
      <c r="N92" s="85" t="s">
        <v>4332</v>
      </c>
      <c r="Z92" t="s">
        <v>4896</v>
      </c>
      <c r="AA92" t="s">
        <v>4899</v>
      </c>
      <c r="AB92">
        <v>50</v>
      </c>
      <c r="AC92" s="71">
        <v>100.0179211</v>
      </c>
      <c r="AD92" s="1193">
        <f>AVERAGE(AC83:AC101)</f>
        <v>106.46252476710526</v>
      </c>
    </row>
    <row r="93" spans="1:30"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4352</v>
      </c>
      <c r="N93" s="598" t="s">
        <v>4332</v>
      </c>
      <c r="Z93" s="202" t="s">
        <v>4896</v>
      </c>
      <c r="AA93" s="202" t="s">
        <v>4899</v>
      </c>
      <c r="AB93" s="202">
        <v>55</v>
      </c>
      <c r="AC93" s="230">
        <v>107.06817515</v>
      </c>
    </row>
    <row r="94" spans="1:30"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4352</v>
      </c>
      <c r="N94" s="85" t="s">
        <v>4332</v>
      </c>
      <c r="Z94" t="s">
        <v>4896</v>
      </c>
      <c r="AA94" t="s">
        <v>4899</v>
      </c>
      <c r="AB94">
        <v>60</v>
      </c>
      <c r="AC94" s="71">
        <v>114.794012</v>
      </c>
    </row>
    <row r="95" spans="1:30"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4352</v>
      </c>
      <c r="N95" s="85" t="s">
        <v>4332</v>
      </c>
      <c r="Z95" t="s">
        <v>4896</v>
      </c>
      <c r="AA95" t="s">
        <v>4899</v>
      </c>
      <c r="AB95">
        <v>65</v>
      </c>
      <c r="AC95" s="71">
        <v>123.11361345</v>
      </c>
    </row>
    <row r="96" spans="1:30"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4352</v>
      </c>
      <c r="N96" s="85" t="s">
        <v>4332</v>
      </c>
      <c r="Z96" t="s">
        <v>4896</v>
      </c>
      <c r="AA96" t="s">
        <v>4899</v>
      </c>
      <c r="AB96">
        <v>70</v>
      </c>
      <c r="AC96" s="71">
        <v>131.76307689999999</v>
      </c>
    </row>
    <row r="97" spans="1:30"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4352</v>
      </c>
      <c r="N97" s="85" t="s">
        <v>4332</v>
      </c>
      <c r="Z97" t="s">
        <v>4896</v>
      </c>
      <c r="AA97" t="s">
        <v>4899</v>
      </c>
      <c r="AB97">
        <v>75</v>
      </c>
      <c r="AC97" s="71">
        <v>141.5139867</v>
      </c>
    </row>
    <row r="98" spans="1:30"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4352</v>
      </c>
      <c r="N98" s="598" t="s">
        <v>4332</v>
      </c>
      <c r="Z98" s="202" t="s">
        <v>4896</v>
      </c>
      <c r="AA98" s="202" t="s">
        <v>4899</v>
      </c>
      <c r="AB98" s="202">
        <v>80</v>
      </c>
      <c r="AC98" s="230">
        <v>152.5457317</v>
      </c>
    </row>
    <row r="99" spans="1:30" x14ac:dyDescent="0.25">
      <c r="A99" t="s">
        <v>2884</v>
      </c>
      <c r="B99" t="s">
        <v>2893</v>
      </c>
      <c r="C99" s="234" t="s">
        <v>95</v>
      </c>
      <c r="D99" t="s">
        <v>4634</v>
      </c>
      <c r="E99" s="52">
        <v>2024</v>
      </c>
      <c r="F99" s="108">
        <v>0.95</v>
      </c>
      <c r="G99" s="108">
        <v>0.95</v>
      </c>
      <c r="H99" s="108">
        <v>0.95</v>
      </c>
      <c r="I99" s="108">
        <v>0.95</v>
      </c>
      <c r="J99" s="108">
        <v>0.95</v>
      </c>
      <c r="K99" s="108">
        <v>0.95</v>
      </c>
      <c r="L99" s="958">
        <v>0.95</v>
      </c>
      <c r="M99" s="52" t="s">
        <v>4741</v>
      </c>
      <c r="Z99" t="s">
        <v>4896</v>
      </c>
      <c r="AA99" t="s">
        <v>4899</v>
      </c>
      <c r="AB99">
        <v>85</v>
      </c>
      <c r="AC99" s="71">
        <v>166.14683980000001</v>
      </c>
    </row>
    <row r="100" spans="1:30" x14ac:dyDescent="0.25">
      <c r="A100" t="s">
        <v>4693</v>
      </c>
      <c r="B100" t="s">
        <v>2893</v>
      </c>
      <c r="C100" t="s">
        <v>95</v>
      </c>
      <c r="D100" t="s">
        <v>4634</v>
      </c>
      <c r="E100" s="52">
        <v>2024</v>
      </c>
      <c r="F100" s="108">
        <v>0.95</v>
      </c>
      <c r="G100" s="108">
        <v>0.95</v>
      </c>
      <c r="H100" s="108">
        <v>0.95</v>
      </c>
      <c r="I100" s="108">
        <v>0.95</v>
      </c>
      <c r="J100" s="108">
        <v>0.95</v>
      </c>
      <c r="K100" s="108">
        <v>0.95</v>
      </c>
      <c r="L100" s="981">
        <v>0.95</v>
      </c>
      <c r="M100" s="52" t="s">
        <v>4741</v>
      </c>
      <c r="Z100" t="s">
        <v>4896</v>
      </c>
      <c r="AA100" t="s">
        <v>4899</v>
      </c>
      <c r="AB100">
        <v>90</v>
      </c>
      <c r="AC100" s="71">
        <v>184.64848480000001</v>
      </c>
    </row>
    <row r="101" spans="1:30" x14ac:dyDescent="0.25">
      <c r="Z101" t="s">
        <v>4896</v>
      </c>
      <c r="AA101" t="s">
        <v>4899</v>
      </c>
      <c r="AB101">
        <v>95</v>
      </c>
      <c r="AC101" s="71">
        <v>213.92549020000001</v>
      </c>
    </row>
    <row r="102" spans="1:30" x14ac:dyDescent="0.25">
      <c r="Z102" t="s">
        <v>4896</v>
      </c>
      <c r="AA102" t="s">
        <v>4899</v>
      </c>
      <c r="AB102">
        <v>99</v>
      </c>
      <c r="AC102" s="71">
        <v>278.31278198000001</v>
      </c>
    </row>
    <row r="103" spans="1:30" x14ac:dyDescent="0.25">
      <c r="Z103" t="s">
        <v>4898</v>
      </c>
      <c r="AA103" t="s">
        <v>4899</v>
      </c>
      <c r="AB103">
        <v>5</v>
      </c>
      <c r="AC103" s="71">
        <v>105.91590625000001</v>
      </c>
    </row>
    <row r="104" spans="1:30" x14ac:dyDescent="0.25">
      <c r="Z104" t="s">
        <v>4898</v>
      </c>
      <c r="AA104" t="s">
        <v>4899</v>
      </c>
      <c r="AB104">
        <v>10</v>
      </c>
      <c r="AC104" s="71">
        <v>117.2210766</v>
      </c>
    </row>
    <row r="105" spans="1:30" x14ac:dyDescent="0.25">
      <c r="Z105" t="s">
        <v>4898</v>
      </c>
      <c r="AA105" t="s">
        <v>4899</v>
      </c>
      <c r="AB105">
        <v>15</v>
      </c>
      <c r="AC105" s="71">
        <v>128.47396649999999</v>
      </c>
    </row>
    <row r="106" spans="1:30" x14ac:dyDescent="0.25">
      <c r="Z106" t="s">
        <v>4898</v>
      </c>
      <c r="AA106" t="s">
        <v>4899</v>
      </c>
      <c r="AB106">
        <v>20</v>
      </c>
      <c r="AC106" s="71">
        <v>138.8122438</v>
      </c>
    </row>
    <row r="107" spans="1:30" x14ac:dyDescent="0.25">
      <c r="Z107" t="s">
        <v>4898</v>
      </c>
      <c r="AA107" t="s">
        <v>4899</v>
      </c>
      <c r="AB107">
        <v>25</v>
      </c>
      <c r="AC107" s="71">
        <v>149.99040059999999</v>
      </c>
    </row>
    <row r="108" spans="1:30" x14ac:dyDescent="0.25">
      <c r="Z108" t="s">
        <v>4898</v>
      </c>
      <c r="AA108" t="s">
        <v>4899</v>
      </c>
      <c r="AB108">
        <v>30</v>
      </c>
      <c r="AC108" s="71">
        <v>160.50146280000001</v>
      </c>
    </row>
    <row r="109" spans="1:30" x14ac:dyDescent="0.25">
      <c r="Z109" t="s">
        <v>4898</v>
      </c>
      <c r="AA109" t="s">
        <v>4899</v>
      </c>
      <c r="AB109">
        <v>35</v>
      </c>
      <c r="AC109" s="71">
        <v>171.1558484</v>
      </c>
    </row>
    <row r="110" spans="1:30" ht="15.75" thickBot="1" x14ac:dyDescent="0.3">
      <c r="Z110" t="s">
        <v>4898</v>
      </c>
      <c r="AA110" t="s">
        <v>4899</v>
      </c>
      <c r="AB110">
        <v>40</v>
      </c>
      <c r="AC110" s="71">
        <v>182.6858939</v>
      </c>
    </row>
    <row r="111" spans="1:30" x14ac:dyDescent="0.25">
      <c r="Z111" t="s">
        <v>4898</v>
      </c>
      <c r="AA111" t="s">
        <v>4899</v>
      </c>
      <c r="AB111">
        <v>45</v>
      </c>
      <c r="AC111" s="71">
        <v>194.21963124999999</v>
      </c>
      <c r="AD111" s="1192" t="s">
        <v>4902</v>
      </c>
    </row>
    <row r="112" spans="1:30" ht="15.75" thickBot="1" x14ac:dyDescent="0.3">
      <c r="Z112" t="s">
        <v>4898</v>
      </c>
      <c r="AA112" t="s">
        <v>4899</v>
      </c>
      <c r="AB112">
        <v>50</v>
      </c>
      <c r="AC112" s="71">
        <v>205.8749305</v>
      </c>
      <c r="AD112" s="1193">
        <f>AVERAGE(AC103:AC121)</f>
        <v>216.29526535526315</v>
      </c>
    </row>
    <row r="113" spans="26:29" x14ac:dyDescent="0.25">
      <c r="Z113" t="s">
        <v>4898</v>
      </c>
      <c r="AA113" t="s">
        <v>4899</v>
      </c>
      <c r="AB113">
        <v>55</v>
      </c>
      <c r="AC113" s="71">
        <v>218.25755095</v>
      </c>
    </row>
    <row r="114" spans="26:29" x14ac:dyDescent="0.25">
      <c r="Z114" t="s">
        <v>4898</v>
      </c>
      <c r="AA114" t="s">
        <v>4899</v>
      </c>
      <c r="AB114">
        <v>60</v>
      </c>
      <c r="AC114" s="71">
        <v>231.32710270000001</v>
      </c>
    </row>
    <row r="115" spans="26:29" x14ac:dyDescent="0.25">
      <c r="Z115" t="s">
        <v>4898</v>
      </c>
      <c r="AA115" t="s">
        <v>4899</v>
      </c>
      <c r="AB115">
        <v>65</v>
      </c>
      <c r="AC115" s="71">
        <v>245.75006974999999</v>
      </c>
    </row>
    <row r="116" spans="26:29" x14ac:dyDescent="0.25">
      <c r="Z116" t="s">
        <v>4898</v>
      </c>
      <c r="AA116" t="s">
        <v>4899</v>
      </c>
      <c r="AB116">
        <v>70</v>
      </c>
      <c r="AC116" s="71">
        <v>261.14216260000001</v>
      </c>
    </row>
    <row r="117" spans="26:29" x14ac:dyDescent="0.25">
      <c r="Z117" t="s">
        <v>4898</v>
      </c>
      <c r="AA117" t="s">
        <v>4899</v>
      </c>
      <c r="AB117">
        <v>75</v>
      </c>
      <c r="AC117" s="71">
        <v>277.81208559999999</v>
      </c>
    </row>
    <row r="118" spans="26:29" x14ac:dyDescent="0.25">
      <c r="Z118" t="s">
        <v>4898</v>
      </c>
      <c r="AA118" t="s">
        <v>4899</v>
      </c>
      <c r="AB118">
        <v>80</v>
      </c>
      <c r="AC118" s="71">
        <v>295.49489240000003</v>
      </c>
    </row>
    <row r="119" spans="26:29" x14ac:dyDescent="0.25">
      <c r="Z119" t="s">
        <v>4898</v>
      </c>
      <c r="AA119" t="s">
        <v>4899</v>
      </c>
      <c r="AB119">
        <v>85</v>
      </c>
      <c r="AC119" s="71">
        <v>316.93642614999999</v>
      </c>
    </row>
    <row r="120" spans="26:29" x14ac:dyDescent="0.25">
      <c r="Z120" t="s">
        <v>4898</v>
      </c>
      <c r="AA120" t="s">
        <v>4899</v>
      </c>
      <c r="AB120">
        <v>90</v>
      </c>
      <c r="AC120" s="71">
        <v>340.12378280000001</v>
      </c>
    </row>
    <row r="121" spans="26:29" x14ac:dyDescent="0.25">
      <c r="Z121" t="s">
        <v>4898</v>
      </c>
      <c r="AA121" t="s">
        <v>4899</v>
      </c>
      <c r="AB121">
        <v>95</v>
      </c>
      <c r="AC121" s="71">
        <v>367.91460819999998</v>
      </c>
    </row>
    <row r="122" spans="26:29" x14ac:dyDescent="0.25">
      <c r="Z122" t="s">
        <v>4898</v>
      </c>
      <c r="AA122" t="s">
        <v>4899</v>
      </c>
      <c r="AB122">
        <v>99</v>
      </c>
      <c r="AC122" s="71">
        <v>393.01533080000002</v>
      </c>
    </row>
    <row r="123" spans="26:29" x14ac:dyDescent="0.25">
      <c r="Z123" t="s">
        <v>4896</v>
      </c>
      <c r="AA123" t="s">
        <v>4900</v>
      </c>
      <c r="AB123">
        <v>5</v>
      </c>
      <c r="AC123" s="71">
        <v>24.691657144000001</v>
      </c>
    </row>
    <row r="124" spans="26:29" x14ac:dyDescent="0.25">
      <c r="Z124" t="s">
        <v>4896</v>
      </c>
      <c r="AA124" t="s">
        <v>4900</v>
      </c>
      <c r="AB124">
        <v>10</v>
      </c>
      <c r="AC124" s="71">
        <v>37.507297114000004</v>
      </c>
    </row>
    <row r="125" spans="26:29" x14ac:dyDescent="0.25">
      <c r="Z125" t="s">
        <v>4896</v>
      </c>
      <c r="AA125" t="s">
        <v>4900</v>
      </c>
      <c r="AB125">
        <v>15</v>
      </c>
      <c r="AC125" s="71">
        <v>46.168557649999997</v>
      </c>
    </row>
    <row r="126" spans="26:29" x14ac:dyDescent="0.25">
      <c r="Z126" t="s">
        <v>4896</v>
      </c>
      <c r="AA126" t="s">
        <v>4900</v>
      </c>
      <c r="AB126">
        <v>20</v>
      </c>
      <c r="AC126" s="71">
        <v>56.647889550000009</v>
      </c>
    </row>
    <row r="127" spans="26:29" x14ac:dyDescent="0.25">
      <c r="Z127" t="s">
        <v>4896</v>
      </c>
      <c r="AA127" t="s">
        <v>4900</v>
      </c>
      <c r="AB127">
        <v>25</v>
      </c>
      <c r="AC127" s="71">
        <v>62.433333330000004</v>
      </c>
    </row>
    <row r="128" spans="26:29" x14ac:dyDescent="0.25">
      <c r="Z128" t="s">
        <v>4896</v>
      </c>
      <c r="AA128" t="s">
        <v>4900</v>
      </c>
      <c r="AB128">
        <v>30</v>
      </c>
      <c r="AC128" s="71">
        <v>68.828526940000003</v>
      </c>
    </row>
    <row r="129" spans="26:30" x14ac:dyDescent="0.25">
      <c r="Z129" t="s">
        <v>4896</v>
      </c>
      <c r="AA129" t="s">
        <v>4900</v>
      </c>
      <c r="AB129">
        <v>35</v>
      </c>
      <c r="AC129" s="71">
        <v>77.701212122000001</v>
      </c>
    </row>
    <row r="130" spans="26:30" ht="15.75" thickBot="1" x14ac:dyDescent="0.3">
      <c r="Z130" t="s">
        <v>4896</v>
      </c>
      <c r="AA130" t="s">
        <v>4900</v>
      </c>
      <c r="AB130">
        <v>40</v>
      </c>
      <c r="AC130" s="71">
        <v>87.256529518000008</v>
      </c>
    </row>
    <row r="131" spans="26:30" x14ac:dyDescent="0.25">
      <c r="Z131" t="s">
        <v>4896</v>
      </c>
      <c r="AA131" t="s">
        <v>4900</v>
      </c>
      <c r="AB131">
        <v>45</v>
      </c>
      <c r="AC131" s="71">
        <v>97.158494210000001</v>
      </c>
      <c r="AD131" s="1192" t="s">
        <v>4902</v>
      </c>
    </row>
    <row r="132" spans="26:30" ht="15.75" thickBot="1" x14ac:dyDescent="0.3">
      <c r="Z132" t="s">
        <v>4896</v>
      </c>
      <c r="AA132" t="s">
        <v>4900</v>
      </c>
      <c r="AB132">
        <v>50</v>
      </c>
      <c r="AC132" s="71">
        <v>101.6956522</v>
      </c>
      <c r="AD132" s="1193">
        <f>AVERAGE(AC123:AC141)</f>
        <v>101.52670355147369</v>
      </c>
    </row>
    <row r="133" spans="26:30" x14ac:dyDescent="0.25">
      <c r="Z133" t="s">
        <v>4896</v>
      </c>
      <c r="AA133" t="s">
        <v>4900</v>
      </c>
      <c r="AB133">
        <v>55</v>
      </c>
      <c r="AC133" s="71">
        <v>105.39332161999999</v>
      </c>
    </row>
    <row r="134" spans="26:30" x14ac:dyDescent="0.25">
      <c r="Z134" t="s">
        <v>4896</v>
      </c>
      <c r="AA134" t="s">
        <v>4900</v>
      </c>
      <c r="AB134">
        <v>60</v>
      </c>
      <c r="AC134" s="71">
        <v>111.79527247999999</v>
      </c>
    </row>
    <row r="135" spans="26:30" x14ac:dyDescent="0.25">
      <c r="Z135" t="s">
        <v>4896</v>
      </c>
      <c r="AA135" t="s">
        <v>4900</v>
      </c>
      <c r="AB135">
        <v>65</v>
      </c>
      <c r="AC135" s="71">
        <v>117.97142854000001</v>
      </c>
    </row>
    <row r="136" spans="26:30" x14ac:dyDescent="0.25">
      <c r="Z136" t="s">
        <v>4896</v>
      </c>
      <c r="AA136" t="s">
        <v>4900</v>
      </c>
      <c r="AB136">
        <v>70</v>
      </c>
      <c r="AC136" s="71">
        <v>126.70640914000001</v>
      </c>
    </row>
    <row r="137" spans="26:30" x14ac:dyDescent="0.25">
      <c r="Z137" t="s">
        <v>4896</v>
      </c>
      <c r="AA137" t="s">
        <v>4900</v>
      </c>
      <c r="AB137">
        <v>75</v>
      </c>
      <c r="AC137" s="71">
        <v>135.63999999999999</v>
      </c>
    </row>
    <row r="138" spans="26:30" x14ac:dyDescent="0.25">
      <c r="Z138" t="s">
        <v>4896</v>
      </c>
      <c r="AA138" t="s">
        <v>4900</v>
      </c>
      <c r="AB138">
        <v>80</v>
      </c>
      <c r="AC138" s="71">
        <v>143.61782747999999</v>
      </c>
    </row>
    <row r="139" spans="26:30" x14ac:dyDescent="0.25">
      <c r="Z139" t="s">
        <v>4896</v>
      </c>
      <c r="AA139" t="s">
        <v>4900</v>
      </c>
      <c r="AB139">
        <v>85</v>
      </c>
      <c r="AC139" s="71">
        <v>155.97776225999991</v>
      </c>
    </row>
    <row r="140" spans="26:30" x14ac:dyDescent="0.25">
      <c r="Z140" t="s">
        <v>4896</v>
      </c>
      <c r="AA140" t="s">
        <v>4900</v>
      </c>
      <c r="AB140">
        <v>90</v>
      </c>
      <c r="AC140" s="71">
        <v>168.5843577</v>
      </c>
    </row>
    <row r="141" spans="26:30" x14ac:dyDescent="0.25">
      <c r="Z141" t="s">
        <v>4896</v>
      </c>
      <c r="AA141" t="s">
        <v>4900</v>
      </c>
      <c r="AB141">
        <v>95</v>
      </c>
      <c r="AC141" s="71">
        <v>203.23183847999999</v>
      </c>
    </row>
    <row r="142" spans="26:30" x14ac:dyDescent="0.25">
      <c r="Z142" t="s">
        <v>4896</v>
      </c>
      <c r="AA142" t="s">
        <v>4900</v>
      </c>
      <c r="AB142">
        <v>99</v>
      </c>
      <c r="AC142" s="71">
        <v>249.74235558399991</v>
      </c>
    </row>
    <row r="143" spans="26:30" x14ac:dyDescent="0.25">
      <c r="Z143" t="s">
        <v>4898</v>
      </c>
      <c r="AA143" t="s">
        <v>4900</v>
      </c>
      <c r="AB143">
        <v>5</v>
      </c>
      <c r="AC143" s="71">
        <v>133.23041019999999</v>
      </c>
    </row>
    <row r="144" spans="26:30" x14ac:dyDescent="0.25">
      <c r="Z144" t="s">
        <v>4898</v>
      </c>
      <c r="AA144" t="s">
        <v>4900</v>
      </c>
      <c r="AB144">
        <v>10</v>
      </c>
      <c r="AC144" s="71">
        <v>148.66396065999999</v>
      </c>
    </row>
    <row r="145" spans="26:30" x14ac:dyDescent="0.25">
      <c r="Z145" t="s">
        <v>4898</v>
      </c>
      <c r="AA145" t="s">
        <v>4900</v>
      </c>
      <c r="AB145">
        <v>15</v>
      </c>
      <c r="AC145" s="71">
        <v>159.03129118000001</v>
      </c>
    </row>
    <row r="146" spans="26:30" x14ac:dyDescent="0.25">
      <c r="Z146" t="s">
        <v>4898</v>
      </c>
      <c r="AA146" t="s">
        <v>4900</v>
      </c>
      <c r="AB146">
        <v>20</v>
      </c>
      <c r="AC146" s="71">
        <v>170.68083698000001</v>
      </c>
    </row>
    <row r="147" spans="26:30" x14ac:dyDescent="0.25">
      <c r="Z147" t="s">
        <v>4898</v>
      </c>
      <c r="AA147" t="s">
        <v>4900</v>
      </c>
      <c r="AB147">
        <v>25</v>
      </c>
      <c r="AC147" s="71">
        <v>180.56594039999999</v>
      </c>
    </row>
    <row r="148" spans="26:30" x14ac:dyDescent="0.25">
      <c r="Z148" t="s">
        <v>4898</v>
      </c>
      <c r="AA148" t="s">
        <v>4900</v>
      </c>
      <c r="AB148">
        <v>30</v>
      </c>
      <c r="AC148" s="71">
        <v>191.05772794000001</v>
      </c>
    </row>
    <row r="149" spans="26:30" x14ac:dyDescent="0.25">
      <c r="Z149" t="s">
        <v>4898</v>
      </c>
      <c r="AA149" t="s">
        <v>4900</v>
      </c>
      <c r="AB149">
        <v>35</v>
      </c>
      <c r="AC149" s="71">
        <v>198.05813982000001</v>
      </c>
    </row>
    <row r="150" spans="26:30" ht="15.75" thickBot="1" x14ac:dyDescent="0.3">
      <c r="Z150" t="s">
        <v>4898</v>
      </c>
      <c r="AA150" t="s">
        <v>4900</v>
      </c>
      <c r="AB150">
        <v>40</v>
      </c>
      <c r="AC150" s="71">
        <v>210.4076599</v>
      </c>
    </row>
    <row r="151" spans="26:30" x14ac:dyDescent="0.25">
      <c r="Z151" t="s">
        <v>4898</v>
      </c>
      <c r="AA151" t="s">
        <v>4900</v>
      </c>
      <c r="AB151">
        <v>45</v>
      </c>
      <c r="AC151" s="71">
        <v>223.88352370000001</v>
      </c>
      <c r="AD151" s="1192" t="s">
        <v>4902</v>
      </c>
    </row>
    <row r="152" spans="26:30" ht="15.75" thickBot="1" x14ac:dyDescent="0.3">
      <c r="Z152" t="s">
        <v>4898</v>
      </c>
      <c r="AA152" t="s">
        <v>4900</v>
      </c>
      <c r="AB152">
        <v>50</v>
      </c>
      <c r="AC152" s="71">
        <v>238.8186121</v>
      </c>
      <c r="AD152" s="1193">
        <f>AVERAGE(AC143:AC161)</f>
        <v>243.76191253789474</v>
      </c>
    </row>
    <row r="153" spans="26:30" x14ac:dyDescent="0.25">
      <c r="Z153" t="s">
        <v>4898</v>
      </c>
      <c r="AA153" t="s">
        <v>4900</v>
      </c>
      <c r="AB153">
        <v>55</v>
      </c>
      <c r="AC153" s="71">
        <v>243.97267962000001</v>
      </c>
    </row>
    <row r="154" spans="26:30" x14ac:dyDescent="0.25">
      <c r="Z154" t="s">
        <v>4898</v>
      </c>
      <c r="AA154" t="s">
        <v>4900</v>
      </c>
      <c r="AB154">
        <v>60</v>
      </c>
      <c r="AC154" s="71">
        <v>255.1578141</v>
      </c>
    </row>
    <row r="155" spans="26:30" x14ac:dyDescent="0.25">
      <c r="Z155" t="s">
        <v>4898</v>
      </c>
      <c r="AA155" t="s">
        <v>4900</v>
      </c>
      <c r="AB155">
        <v>65</v>
      </c>
      <c r="AC155" s="71">
        <v>268.16038880000002</v>
      </c>
    </row>
    <row r="156" spans="26:30" x14ac:dyDescent="0.25">
      <c r="Z156" t="s">
        <v>4898</v>
      </c>
      <c r="AA156" t="s">
        <v>4900</v>
      </c>
      <c r="AB156">
        <v>70</v>
      </c>
      <c r="AC156" s="71">
        <v>283.62347820000002</v>
      </c>
    </row>
    <row r="157" spans="26:30" x14ac:dyDescent="0.25">
      <c r="Z157" t="s">
        <v>4898</v>
      </c>
      <c r="AA157" t="s">
        <v>4900</v>
      </c>
      <c r="AB157">
        <v>75</v>
      </c>
      <c r="AC157" s="71">
        <v>295.59153199999997</v>
      </c>
    </row>
    <row r="158" spans="26:30" x14ac:dyDescent="0.25">
      <c r="Z158" t="s">
        <v>4898</v>
      </c>
      <c r="AA158" t="s">
        <v>4900</v>
      </c>
      <c r="AB158">
        <v>80</v>
      </c>
      <c r="AC158" s="71">
        <v>321.11463812</v>
      </c>
    </row>
    <row r="159" spans="26:30" x14ac:dyDescent="0.25">
      <c r="Z159" t="s">
        <v>4898</v>
      </c>
      <c r="AA159" t="s">
        <v>4900</v>
      </c>
      <c r="AB159">
        <v>85</v>
      </c>
      <c r="AC159" s="71">
        <v>343.11665951999981</v>
      </c>
    </row>
    <row r="160" spans="26:30" x14ac:dyDescent="0.25">
      <c r="Z160" t="s">
        <v>4898</v>
      </c>
      <c r="AA160" t="s">
        <v>4900</v>
      </c>
      <c r="AB160">
        <v>90</v>
      </c>
      <c r="AC160" s="71">
        <v>370.48852016000001</v>
      </c>
    </row>
    <row r="161" spans="26:29" x14ac:dyDescent="0.25">
      <c r="Z161" t="s">
        <v>4898</v>
      </c>
      <c r="AA161" t="s">
        <v>4900</v>
      </c>
      <c r="AB161">
        <v>95</v>
      </c>
      <c r="AC161" s="71">
        <v>395.85252481999999</v>
      </c>
    </row>
    <row r="162" spans="26:29" x14ac:dyDescent="0.25">
      <c r="Z162" t="s">
        <v>4898</v>
      </c>
      <c r="AA162" t="s">
        <v>4900</v>
      </c>
      <c r="AB162">
        <v>99</v>
      </c>
      <c r="AC162" s="71">
        <v>420.21275025199998</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hyperlinks>
    <hyperlink ref="O50" r:id="rId1" xr:uid="{FDD6A5D1-D4AE-4D0F-9671-E302A887A21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U17" workbookViewId="0">
      <selection activeCell="AB24" sqref="AB24"/>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57" t="s">
        <v>1003</v>
      </c>
      <c r="L1" s="1058"/>
      <c r="M1" s="1058"/>
      <c r="N1" s="1058"/>
      <c r="O1" s="1058"/>
      <c r="P1" s="1058"/>
      <c r="Q1" s="1059"/>
      <c r="S1" s="1037" t="s">
        <v>147</v>
      </c>
      <c r="T1" s="1038"/>
      <c r="U1" s="1038"/>
      <c r="V1" s="1038"/>
      <c r="W1" s="1038"/>
      <c r="X1" s="1043" t="s">
        <v>2640</v>
      </c>
      <c r="Z1" s="1043" t="s">
        <v>2641</v>
      </c>
      <c r="AK1" s="1092" t="s">
        <v>2150</v>
      </c>
      <c r="AL1" s="1093"/>
      <c r="AM1" s="1093"/>
      <c r="AN1" s="1093"/>
      <c r="AO1" s="1093"/>
      <c r="AP1" s="1093"/>
      <c r="AQ1" s="1093"/>
      <c r="AR1" s="1093"/>
      <c r="AS1" s="1093"/>
      <c r="AT1" s="1094"/>
      <c r="BB1" s="1092" t="s">
        <v>2148</v>
      </c>
      <c r="BC1" s="1093"/>
      <c r="BD1" s="1093"/>
      <c r="BE1" s="1093"/>
      <c r="BF1" s="1093"/>
      <c r="BG1" s="1093"/>
      <c r="BH1" s="1094"/>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43"/>
      <c r="Y2" s="735"/>
      <c r="Z2" s="1043"/>
      <c r="AA2" s="1073" t="s">
        <v>4051</v>
      </c>
      <c r="AB2" s="1073"/>
      <c r="AC2" s="1073"/>
      <c r="AD2" s="1073"/>
      <c r="AE2" s="1073"/>
      <c r="AF2" s="1073"/>
      <c r="AG2" s="1073"/>
      <c r="AH2" s="1073"/>
      <c r="AI2" s="736"/>
      <c r="AK2" s="1110" t="s">
        <v>1917</v>
      </c>
      <c r="AL2" s="1073"/>
      <c r="AM2" s="1073"/>
      <c r="AN2" s="1073"/>
      <c r="AO2" s="1073"/>
      <c r="AP2" s="1073"/>
      <c r="AQ2" s="1073"/>
      <c r="AR2" s="1073"/>
      <c r="AS2" s="736"/>
      <c r="AT2" s="737"/>
      <c r="BB2" s="741" t="s">
        <v>2920</v>
      </c>
      <c r="BF2" s="415" t="s">
        <v>2921</v>
      </c>
      <c r="BH2" s="737"/>
    </row>
    <row r="3" spans="1:61" ht="16.5" thickTop="1" thickBot="1" x14ac:dyDescent="0.3">
      <c r="A3" t="s">
        <v>1004</v>
      </c>
      <c r="B3" t="s">
        <v>95</v>
      </c>
      <c r="C3" t="s">
        <v>4050</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4056</v>
      </c>
      <c r="S3" s="717">
        <v>3</v>
      </c>
      <c r="T3" s="377">
        <v>1</v>
      </c>
      <c r="U3" s="377">
        <v>1</v>
      </c>
      <c r="V3" s="377">
        <v>3</v>
      </c>
      <c r="W3" s="377">
        <v>1</v>
      </c>
      <c r="X3" s="1043"/>
      <c r="Z3" s="1043"/>
      <c r="AA3" s="88" t="s">
        <v>246</v>
      </c>
      <c r="AB3" s="88">
        <v>2023</v>
      </c>
      <c r="AC3" s="88">
        <v>2025</v>
      </c>
      <c r="AD3" s="88">
        <v>2030</v>
      </c>
      <c r="AE3" s="88">
        <v>2035</v>
      </c>
      <c r="AF3" s="83" t="s">
        <v>922</v>
      </c>
      <c r="AG3" s="83" t="s">
        <v>923</v>
      </c>
      <c r="AH3" s="88">
        <v>2050</v>
      </c>
      <c r="AI3" s="28" t="s">
        <v>3049</v>
      </c>
      <c r="AK3" s="232" t="s">
        <v>246</v>
      </c>
      <c r="AL3" s="88">
        <v>2023</v>
      </c>
      <c r="AM3" s="88">
        <v>2025</v>
      </c>
      <c r="AN3" s="88">
        <v>2030</v>
      </c>
      <c r="AO3" s="88">
        <v>2035</v>
      </c>
      <c r="AP3" s="83" t="s">
        <v>922</v>
      </c>
      <c r="AQ3" s="83" t="s">
        <v>923</v>
      </c>
      <c r="AR3" s="88">
        <v>2050</v>
      </c>
      <c r="AS3" s="28" t="s">
        <v>3049</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4050</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4056</v>
      </c>
      <c r="S4" s="717">
        <v>3</v>
      </c>
      <c r="T4" s="377">
        <v>1</v>
      </c>
      <c r="U4" s="377">
        <v>1</v>
      </c>
      <c r="V4" s="377">
        <v>3</v>
      </c>
      <c r="W4" s="377">
        <v>1</v>
      </c>
      <c r="X4" s="1043"/>
      <c r="Z4" s="1043"/>
      <c r="AA4" s="28" t="s">
        <v>3029</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4050</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4056</v>
      </c>
      <c r="S5" s="717">
        <v>3</v>
      </c>
      <c r="T5" s="377">
        <v>1</v>
      </c>
      <c r="U5" s="377">
        <v>1</v>
      </c>
      <c r="V5" s="377">
        <v>3</v>
      </c>
      <c r="W5" s="377">
        <v>1</v>
      </c>
      <c r="X5" s="1043"/>
      <c r="Z5" s="1043"/>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4050</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4056</v>
      </c>
      <c r="S6" s="717">
        <v>3</v>
      </c>
      <c r="T6" s="377">
        <v>1</v>
      </c>
      <c r="U6" s="377">
        <v>1</v>
      </c>
      <c r="V6" s="377">
        <v>3</v>
      </c>
      <c r="W6" s="377">
        <v>1</v>
      </c>
      <c r="X6" s="1043"/>
      <c r="Z6" s="1043"/>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4390</v>
      </c>
      <c r="B7" t="s">
        <v>95</v>
      </c>
      <c r="C7" t="s">
        <v>4050</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4056</v>
      </c>
      <c r="S7" s="717">
        <v>3</v>
      </c>
      <c r="T7" s="377">
        <v>1</v>
      </c>
      <c r="U7" s="377">
        <v>1</v>
      </c>
      <c r="V7" s="377">
        <v>3</v>
      </c>
      <c r="W7" s="377">
        <v>1</v>
      </c>
      <c r="X7" s="1043"/>
      <c r="Z7" s="1043"/>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4050</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4056</v>
      </c>
      <c r="S8" s="717">
        <v>3</v>
      </c>
      <c r="T8" s="377">
        <v>1</v>
      </c>
      <c r="U8" s="377">
        <v>1</v>
      </c>
      <c r="V8" s="377">
        <v>3</v>
      </c>
      <c r="W8" s="377">
        <v>1</v>
      </c>
      <c r="X8" s="1043"/>
      <c r="Z8" s="1043"/>
      <c r="AA8" s="17" t="s">
        <v>3001</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3001</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4395</v>
      </c>
      <c r="B9" t="s">
        <v>95</v>
      </c>
      <c r="C9" t="s">
        <v>4050</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4056</v>
      </c>
      <c r="S9" s="717">
        <v>3</v>
      </c>
      <c r="T9" s="377">
        <v>1</v>
      </c>
      <c r="U9" s="377">
        <v>1</v>
      </c>
      <c r="V9" s="377">
        <v>3</v>
      </c>
      <c r="W9" s="377">
        <v>1</v>
      </c>
      <c r="X9" s="1043"/>
      <c r="Z9" s="1043"/>
      <c r="AA9" s="17" t="s">
        <v>4423</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4423</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4050</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4056</v>
      </c>
      <c r="S10" s="717">
        <v>3</v>
      </c>
      <c r="T10" s="377">
        <v>1</v>
      </c>
      <c r="U10" s="377">
        <v>1</v>
      </c>
      <c r="V10" s="377">
        <v>3</v>
      </c>
      <c r="W10" s="377">
        <v>1</v>
      </c>
      <c r="X10" s="1043"/>
      <c r="Z10" s="1043"/>
      <c r="AA10" s="17" t="s">
        <v>4424</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4424</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4050</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4056</v>
      </c>
      <c r="S11" s="717">
        <v>3</v>
      </c>
      <c r="T11" s="377">
        <v>1</v>
      </c>
      <c r="U11" s="377">
        <v>1</v>
      </c>
      <c r="V11" s="377">
        <v>3</v>
      </c>
      <c r="W11" s="377">
        <v>1</v>
      </c>
      <c r="X11" s="1043"/>
      <c r="Z11" s="1043"/>
      <c r="AA11" s="17" t="s">
        <v>2997</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2997</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4050</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4056</v>
      </c>
      <c r="S12" s="717">
        <v>3</v>
      </c>
      <c r="T12" s="377">
        <v>1</v>
      </c>
      <c r="U12" s="377">
        <v>1</v>
      </c>
      <c r="V12" s="377">
        <v>3</v>
      </c>
      <c r="W12" s="377">
        <v>1</v>
      </c>
      <c r="X12" s="1043"/>
      <c r="Z12" s="1043"/>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4420</v>
      </c>
      <c r="B13" t="s">
        <v>95</v>
      </c>
      <c r="C13" t="s">
        <v>4050</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4056</v>
      </c>
      <c r="S13" s="717">
        <v>3</v>
      </c>
      <c r="T13" s="377">
        <v>1</v>
      </c>
      <c r="U13" s="377">
        <v>1</v>
      </c>
      <c r="V13" s="377">
        <v>3</v>
      </c>
      <c r="W13" s="377">
        <v>1</v>
      </c>
      <c r="X13" s="1043"/>
      <c r="Z13" s="1043"/>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AU13">
        <f>AL13/AL11</f>
        <v>1.3375425266166265</v>
      </c>
      <c r="BB13" s="379" t="s">
        <v>2922</v>
      </c>
      <c r="BE13" s="28"/>
      <c r="BH13" s="63"/>
    </row>
    <row r="14" spans="1:61" ht="15.75" thickBot="1" x14ac:dyDescent="0.3">
      <c r="K14" s="277"/>
      <c r="L14" s="73"/>
      <c r="M14" s="73"/>
      <c r="N14" s="73"/>
      <c r="O14" s="73"/>
      <c r="P14" s="73"/>
      <c r="Q14" s="73"/>
      <c r="X14" s="1043"/>
      <c r="Z14" s="1043"/>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4050</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4056</v>
      </c>
      <c r="S15" s="717">
        <v>3</v>
      </c>
      <c r="T15" s="377">
        <v>1</v>
      </c>
      <c r="U15" s="377">
        <v>1</v>
      </c>
      <c r="V15" s="377">
        <v>3</v>
      </c>
      <c r="W15" s="377">
        <v>1</v>
      </c>
      <c r="X15" s="1043"/>
      <c r="Z15" s="1043"/>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4050</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4056</v>
      </c>
      <c r="S16" s="717">
        <v>3</v>
      </c>
      <c r="T16" s="377">
        <v>1</v>
      </c>
      <c r="U16" s="377">
        <v>1</v>
      </c>
      <c r="V16" s="377">
        <v>3</v>
      </c>
      <c r="W16" s="377">
        <v>1</v>
      </c>
      <c r="X16" s="1043"/>
      <c r="Z16" s="1043"/>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4050</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4056</v>
      </c>
      <c r="S17" s="717">
        <v>3</v>
      </c>
      <c r="T17" s="377">
        <v>1</v>
      </c>
      <c r="U17" s="377">
        <v>1</v>
      </c>
      <c r="V17" s="377">
        <v>3</v>
      </c>
      <c r="W17" s="377">
        <v>1</v>
      </c>
      <c r="X17" s="1043"/>
      <c r="Z17" s="1043"/>
      <c r="AA17" s="28" t="s">
        <v>3030</v>
      </c>
      <c r="AI17" s="85"/>
      <c r="AK17" s="379" t="s">
        <v>519</v>
      </c>
      <c r="AS17" s="114"/>
      <c r="AT17" s="63"/>
      <c r="BB17" s="381" t="s">
        <v>893</v>
      </c>
      <c r="BE17" s="206">
        <f>'OEO &amp; EPAUS9rT Data'!U24/km_mile*USD2018_to_CAD2020</f>
        <v>716.69641333068228</v>
      </c>
      <c r="BH17" s="63"/>
    </row>
    <row r="18" spans="1:60" x14ac:dyDescent="0.25">
      <c r="A18" t="s">
        <v>1017</v>
      </c>
      <c r="B18" t="s">
        <v>95</v>
      </c>
      <c r="C18" t="s">
        <v>4050</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4056</v>
      </c>
      <c r="S18" s="717">
        <v>3</v>
      </c>
      <c r="T18" s="377">
        <v>1</v>
      </c>
      <c r="U18" s="377">
        <v>1</v>
      </c>
      <c r="V18" s="377">
        <v>3</v>
      </c>
      <c r="W18" s="377">
        <v>1</v>
      </c>
      <c r="X18" s="1043"/>
      <c r="Z18" s="1043"/>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4391</v>
      </c>
      <c r="B19" t="s">
        <v>95</v>
      </c>
      <c r="C19" t="s">
        <v>4050</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4056</v>
      </c>
      <c r="S19" s="717">
        <v>3</v>
      </c>
      <c r="T19" s="377">
        <v>1</v>
      </c>
      <c r="U19" s="377">
        <v>1</v>
      </c>
      <c r="V19" s="377">
        <v>3</v>
      </c>
      <c r="W19" s="377">
        <v>1</v>
      </c>
      <c r="X19" s="1043"/>
      <c r="Z19" s="1043"/>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4050</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4056</v>
      </c>
      <c r="S20" s="717">
        <v>3</v>
      </c>
      <c r="T20" s="377">
        <v>1</v>
      </c>
      <c r="U20" s="377">
        <v>1</v>
      </c>
      <c r="V20" s="377">
        <v>3</v>
      </c>
      <c r="W20" s="377">
        <v>1</v>
      </c>
      <c r="X20" s="1043"/>
      <c r="Z20" s="1043"/>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4396</v>
      </c>
      <c r="B21" t="s">
        <v>95</v>
      </c>
      <c r="C21" t="s">
        <v>4050</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4056</v>
      </c>
      <c r="S21" s="717">
        <v>3</v>
      </c>
      <c r="T21" s="377">
        <v>1</v>
      </c>
      <c r="U21" s="377">
        <v>1</v>
      </c>
      <c r="V21" s="377">
        <v>3</v>
      </c>
      <c r="W21" s="377">
        <v>1</v>
      </c>
      <c r="X21" s="1043"/>
      <c r="Z21" s="1043"/>
      <c r="AA21" s="17" t="s">
        <v>3001</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3001</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4050</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4056</v>
      </c>
      <c r="S22" s="717">
        <v>3</v>
      </c>
      <c r="T22" s="377">
        <v>1</v>
      </c>
      <c r="U22" s="377">
        <v>1</v>
      </c>
      <c r="V22" s="377">
        <v>3</v>
      </c>
      <c r="W22" s="377">
        <v>1</v>
      </c>
      <c r="X22" s="1043"/>
      <c r="Z22" s="1043"/>
      <c r="AA22" s="17" t="s">
        <v>4423</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4423</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4050</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4056</v>
      </c>
      <c r="S23" s="717">
        <v>3</v>
      </c>
      <c r="T23" s="377">
        <v>1</v>
      </c>
      <c r="U23" s="377">
        <v>1</v>
      </c>
      <c r="V23" s="377">
        <v>3</v>
      </c>
      <c r="W23" s="377">
        <v>1</v>
      </c>
      <c r="X23" s="1043"/>
      <c r="Z23" s="1043"/>
      <c r="AA23" s="17" t="s">
        <v>4424</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4424</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4050</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4056</v>
      </c>
      <c r="S24" s="717">
        <v>3</v>
      </c>
      <c r="T24" s="377">
        <v>1</v>
      </c>
      <c r="U24" s="377">
        <v>1</v>
      </c>
      <c r="V24" s="377">
        <v>3</v>
      </c>
      <c r="W24" s="377">
        <v>1</v>
      </c>
      <c r="X24" s="1043"/>
      <c r="Z24" s="1043"/>
      <c r="AA24" s="17" t="s">
        <v>2997</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2997</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4421</v>
      </c>
      <c r="B25" t="s">
        <v>95</v>
      </c>
      <c r="C25" t="s">
        <v>4050</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4056</v>
      </c>
      <c r="S25" s="717">
        <v>3</v>
      </c>
      <c r="T25" s="377">
        <v>1</v>
      </c>
      <c r="U25" s="377">
        <v>1</v>
      </c>
      <c r="V25" s="377">
        <v>3</v>
      </c>
      <c r="W25" s="377">
        <v>1</v>
      </c>
      <c r="X25" s="1043"/>
      <c r="Z25" s="1043"/>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43"/>
      <c r="Z26" s="1043"/>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c r="AU26">
        <f>AL26/AL24</f>
        <v>1.3290204802505015</v>
      </c>
    </row>
    <row r="27" spans="1:60" x14ac:dyDescent="0.25">
      <c r="A27" t="s">
        <v>1033</v>
      </c>
      <c r="B27" t="s">
        <v>95</v>
      </c>
      <c r="C27" t="s">
        <v>4050</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4056</v>
      </c>
      <c r="S27" s="717">
        <v>3</v>
      </c>
      <c r="T27" s="377">
        <v>1</v>
      </c>
      <c r="U27" s="377">
        <v>1</v>
      </c>
      <c r="V27" s="377">
        <v>3</v>
      </c>
      <c r="W27" s="377">
        <v>1</v>
      </c>
      <c r="X27" s="1043"/>
      <c r="Z27" s="1043"/>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4050</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4056</v>
      </c>
      <c r="S28" s="717">
        <v>3</v>
      </c>
      <c r="T28" s="377">
        <v>1</v>
      </c>
      <c r="U28" s="377">
        <v>1</v>
      </c>
      <c r="V28" s="377">
        <v>3</v>
      </c>
      <c r="W28" s="377">
        <v>1</v>
      </c>
      <c r="X28" s="1043"/>
      <c r="Z28" s="1043"/>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4050</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4056</v>
      </c>
      <c r="S29" s="717">
        <v>3</v>
      </c>
      <c r="T29" s="377">
        <v>1</v>
      </c>
      <c r="U29" s="377">
        <v>1</v>
      </c>
      <c r="V29" s="377">
        <v>3</v>
      </c>
      <c r="W29" s="377">
        <v>1</v>
      </c>
      <c r="X29" s="1043"/>
      <c r="Z29" s="1043"/>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4050</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4056</v>
      </c>
      <c r="S30" s="717">
        <v>3</v>
      </c>
      <c r="T30" s="377">
        <v>1</v>
      </c>
      <c r="U30" s="377">
        <v>1</v>
      </c>
      <c r="V30" s="377">
        <v>3</v>
      </c>
      <c r="W30" s="377">
        <v>1</v>
      </c>
      <c r="X30" s="1043"/>
      <c r="Z30" s="1043"/>
      <c r="AA30" s="28" t="s">
        <v>3031</v>
      </c>
      <c r="AK30" s="64"/>
      <c r="AT30" s="63"/>
      <c r="BC30" t="s">
        <v>247</v>
      </c>
      <c r="BD30" s="330">
        <v>3768.4456165138263</v>
      </c>
      <c r="BE30" s="330">
        <v>1322.325833030967</v>
      </c>
      <c r="BF30" s="330">
        <v>1052.0692637553468</v>
      </c>
      <c r="BG30" s="330">
        <v>1052.0692637553468</v>
      </c>
    </row>
    <row r="31" spans="1:60" ht="15.75" x14ac:dyDescent="0.25">
      <c r="A31" t="s">
        <v>4392</v>
      </c>
      <c r="B31" t="s">
        <v>95</v>
      </c>
      <c r="C31" t="s">
        <v>4050</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4056</v>
      </c>
      <c r="S31" s="717">
        <v>3</v>
      </c>
      <c r="T31" s="377">
        <v>1</v>
      </c>
      <c r="U31" s="377">
        <v>1</v>
      </c>
      <c r="V31" s="377">
        <v>3</v>
      </c>
      <c r="W31" s="377">
        <v>1</v>
      </c>
      <c r="X31" s="1043"/>
      <c r="Z31" s="1043"/>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4050</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4056</v>
      </c>
      <c r="S32" s="717">
        <v>3</v>
      </c>
      <c r="T32" s="377">
        <v>1</v>
      </c>
      <c r="U32" s="377">
        <v>1</v>
      </c>
      <c r="V32" s="377">
        <v>3</v>
      </c>
      <c r="W32" s="377">
        <v>1</v>
      </c>
      <c r="X32" s="1043"/>
      <c r="Z32" s="1043"/>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3049</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4397</v>
      </c>
      <c r="B33" t="s">
        <v>95</v>
      </c>
      <c r="C33" t="s">
        <v>4050</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4056</v>
      </c>
      <c r="S33" s="717">
        <v>3</v>
      </c>
      <c r="T33" s="377">
        <v>1</v>
      </c>
      <c r="U33" s="377">
        <v>1</v>
      </c>
      <c r="V33" s="377">
        <v>3</v>
      </c>
      <c r="W33" s="377">
        <v>1</v>
      </c>
      <c r="X33" s="1043"/>
      <c r="Z33" s="1043"/>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4006</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4050</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4056</v>
      </c>
      <c r="S34" s="717">
        <v>3</v>
      </c>
      <c r="T34" s="377">
        <v>1</v>
      </c>
      <c r="U34" s="377">
        <v>1</v>
      </c>
      <c r="V34" s="377">
        <v>3</v>
      </c>
      <c r="W34" s="377">
        <v>1</v>
      </c>
      <c r="X34" s="1043"/>
      <c r="Z34" s="1043"/>
      <c r="AA34" s="17" t="s">
        <v>3001</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4050</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4056</v>
      </c>
      <c r="S35" s="717">
        <v>3</v>
      </c>
      <c r="T35" s="377">
        <v>1</v>
      </c>
      <c r="U35" s="377">
        <v>1</v>
      </c>
      <c r="V35" s="377">
        <v>3</v>
      </c>
      <c r="W35" s="377">
        <v>1</v>
      </c>
      <c r="X35" s="1043"/>
      <c r="Z35" s="1043"/>
      <c r="AA35" s="17" t="s">
        <v>4423</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4007</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4050</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4056</v>
      </c>
      <c r="S36" s="717">
        <v>3</v>
      </c>
      <c r="T36" s="377">
        <v>1</v>
      </c>
      <c r="U36" s="377">
        <v>1</v>
      </c>
      <c r="V36" s="377">
        <v>3</v>
      </c>
      <c r="W36" s="377">
        <v>1</v>
      </c>
      <c r="X36" s="1043"/>
      <c r="Z36" s="1043"/>
      <c r="AA36" s="17" t="s">
        <v>4424</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SUM(AB74*$AC$144, AB82*$AC$145, AB90*$AC$146, AB98*$AC$147, AB106*$AC$148, AB113*$AC$149)</f>
        <v>62007.343707239415</v>
      </c>
      <c r="AM36" s="406">
        <f t="shared" ref="AM36:AR40" si="54">SUM(AC74*$AC$144, AC82*$AC$145, AC90*$AC$146, AC98*$AC$147, AC106*$AC$148, AC113*$AC$149)</f>
        <v>61337.557323486151</v>
      </c>
      <c r="AN36" s="406">
        <f t="shared" si="54"/>
        <v>60741.506516622023</v>
      </c>
      <c r="AO36" s="406">
        <f t="shared" si="54"/>
        <v>60269.081868218491</v>
      </c>
      <c r="AP36" s="406">
        <f t="shared" si="54"/>
        <v>60186.007170772929</v>
      </c>
      <c r="AQ36" s="406">
        <f t="shared" si="54"/>
        <v>60102.932473327368</v>
      </c>
      <c r="AR36" s="406">
        <f t="shared" si="54"/>
        <v>60019.857775881799</v>
      </c>
      <c r="AS36" s="114">
        <f t="shared" si="51"/>
        <v>-3.2052428188849756E-2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2" t="s">
        <v>2149</v>
      </c>
      <c r="BC36" s="1093"/>
      <c r="BD36" s="1093"/>
      <c r="BE36" s="1093"/>
      <c r="BF36" s="1093"/>
      <c r="BG36" s="1093"/>
      <c r="BH36" s="1093"/>
      <c r="BI36" s="1094"/>
    </row>
    <row r="37" spans="1:61" x14ac:dyDescent="0.25">
      <c r="A37" t="s">
        <v>4422</v>
      </c>
      <c r="B37" t="s">
        <v>95</v>
      </c>
      <c r="C37" t="s">
        <v>4050</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4056</v>
      </c>
      <c r="S37" s="717">
        <v>3</v>
      </c>
      <c r="T37" s="377">
        <v>1</v>
      </c>
      <c r="U37" s="377">
        <v>1</v>
      </c>
      <c r="V37" s="377">
        <v>3</v>
      </c>
      <c r="W37" s="377">
        <v>1</v>
      </c>
      <c r="X37" s="1043"/>
      <c r="Z37" s="1043"/>
      <c r="AA37" s="17" t="s">
        <v>2997</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ref="AL37:AL40" si="55">SUM(AB75*$AC$144, AB83*$AC$145, AB91*$AC$146, AB99*$AC$147, AB107*$AC$148, AB114*$AC$149)</f>
        <v>108883.64677882158</v>
      </c>
      <c r="AM37" s="406">
        <f t="shared" si="54"/>
        <v>95707.305359954262</v>
      </c>
      <c r="AN37" s="406">
        <f t="shared" si="54"/>
        <v>81822.28322923946</v>
      </c>
      <c r="AO37" s="406">
        <f t="shared" si="54"/>
        <v>73248.413151873465</v>
      </c>
      <c r="AP37" s="406">
        <f t="shared" si="54"/>
        <v>69787.680186165147</v>
      </c>
      <c r="AQ37" s="406">
        <f t="shared" si="54"/>
        <v>66326.947220456845</v>
      </c>
      <c r="AR37" s="406">
        <f t="shared" si="54"/>
        <v>62866.214254748542</v>
      </c>
      <c r="AS37" s="114">
        <f t="shared" si="51"/>
        <v>-0.42262942035317341</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43"/>
      <c r="Z38" s="1043"/>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5"/>
        <v>104390.00386964952</v>
      </c>
      <c r="AM38" s="406">
        <f t="shared" si="54"/>
        <v>88297.038057727259</v>
      </c>
      <c r="AN38" s="406">
        <f t="shared" si="54"/>
        <v>72012.105750159943</v>
      </c>
      <c r="AO38" s="406">
        <f t="shared" si="54"/>
        <v>62970.842188327326</v>
      </c>
      <c r="AP38" s="406">
        <f t="shared" si="54"/>
        <v>59092.930908314433</v>
      </c>
      <c r="AQ38" s="406">
        <f t="shared" si="54"/>
        <v>55215.019628301547</v>
      </c>
      <c r="AR38" s="406">
        <f t="shared" si="54"/>
        <v>51337.108348288653</v>
      </c>
      <c r="AS38" s="114">
        <f t="shared" si="51"/>
        <v>-0.50821815839385687</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4050</v>
      </c>
      <c r="D39">
        <v>2023</v>
      </c>
      <c r="E39">
        <v>2023</v>
      </c>
      <c r="F39" t="s">
        <v>1781</v>
      </c>
      <c r="G39">
        <f t="shared" ref="G39:G51" si="56">USD2023_to_CAD2020</f>
        <v>1.1463657166123775</v>
      </c>
      <c r="H39">
        <v>2020</v>
      </c>
      <c r="I39" t="s">
        <v>1783</v>
      </c>
      <c r="J39" t="s">
        <v>1084</v>
      </c>
      <c r="K39" s="277">
        <f t="shared" ref="K39" si="57">AL34*1000/1000000</f>
        <v>55.121422300834745</v>
      </c>
      <c r="L39" s="73">
        <f t="shared" ref="L39" si="58">AM34*1000/1000000</f>
        <v>55.451835889878836</v>
      </c>
      <c r="M39" s="73">
        <f t="shared" ref="M39" si="59">AN34*1000/1000000</f>
        <v>55.689484092191783</v>
      </c>
      <c r="N39" s="73">
        <f t="shared" ref="N39" si="60">AO34*1000/1000000</f>
        <v>55.401098698053019</v>
      </c>
      <c r="O39" s="73">
        <f t="shared" ref="O39" si="61">AP34*1000/1000000</f>
        <v>55.413930831033682</v>
      </c>
      <c r="P39" s="73">
        <f t="shared" ref="P39" si="62">AQ34*1000/1000000</f>
        <v>55.426762964014372</v>
      </c>
      <c r="Q39" s="73">
        <f t="shared" ref="Q39" si="63">AR34*1000/1000000</f>
        <v>55.439595096995042</v>
      </c>
      <c r="R39" s="72" t="s">
        <v>4064</v>
      </c>
      <c r="S39" s="717">
        <v>3</v>
      </c>
      <c r="T39" s="377">
        <v>1</v>
      </c>
      <c r="U39" s="377">
        <v>1</v>
      </c>
      <c r="V39" s="377">
        <v>3</v>
      </c>
      <c r="W39" s="377">
        <v>1</v>
      </c>
      <c r="X39" s="1043"/>
      <c r="Z39" s="1043"/>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5"/>
        <v>80430.443357663928</v>
      </c>
      <c r="AM39" s="406">
        <f t="shared" si="54"/>
        <v>69661.287180127998</v>
      </c>
      <c r="AN39" s="406">
        <f t="shared" si="54"/>
        <v>64380.029548360915</v>
      </c>
      <c r="AO39" s="406">
        <f t="shared" si="54"/>
        <v>60100.707987759582</v>
      </c>
      <c r="AP39" s="406">
        <f t="shared" si="54"/>
        <v>58459.565516397415</v>
      </c>
      <c r="AQ39" s="406">
        <f t="shared" si="54"/>
        <v>56818.423045035248</v>
      </c>
      <c r="AR39" s="406">
        <f t="shared" si="54"/>
        <v>55177.280573673073</v>
      </c>
      <c r="AS39" s="114">
        <f t="shared" si="51"/>
        <v>-0.31397517817592102</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4050</v>
      </c>
      <c r="D40">
        <v>2023</v>
      </c>
      <c r="E40">
        <v>2023</v>
      </c>
      <c r="F40" t="s">
        <v>1781</v>
      </c>
      <c r="G40">
        <f t="shared" si="56"/>
        <v>1.1463657166123775</v>
      </c>
      <c r="H40">
        <v>2020</v>
      </c>
      <c r="I40" t="s">
        <v>1783</v>
      </c>
      <c r="J40" t="s">
        <v>1084</v>
      </c>
      <c r="K40" s="277">
        <f t="shared" ref="K40:Q45" si="64">AL35*1000/1000000</f>
        <v>54.210860346525315</v>
      </c>
      <c r="L40" s="73">
        <f t="shared" si="64"/>
        <v>54.66878216436514</v>
      </c>
      <c r="M40" s="73">
        <f t="shared" si="64"/>
        <v>55.062525496488263</v>
      </c>
      <c r="N40" s="73">
        <f t="shared" si="64"/>
        <v>55.321392263576215</v>
      </c>
      <c r="O40" s="73">
        <f t="shared" si="64"/>
        <v>55.456613071045297</v>
      </c>
      <c r="P40" s="73">
        <f t="shared" si="64"/>
        <v>55.591833878514386</v>
      </c>
      <c r="Q40" s="73">
        <f t="shared" si="64"/>
        <v>55.727054685983468</v>
      </c>
      <c r="R40" s="72" t="s">
        <v>4064</v>
      </c>
      <c r="S40" s="717">
        <v>3</v>
      </c>
      <c r="T40" s="377">
        <v>1</v>
      </c>
      <c r="U40" s="377">
        <v>1</v>
      </c>
      <c r="V40" s="377">
        <v>3</v>
      </c>
      <c r="W40" s="377">
        <v>1</v>
      </c>
      <c r="X40" s="1043"/>
      <c r="Z40" s="1043"/>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5"/>
        <v>76085.818747787387</v>
      </c>
      <c r="AM40" s="406">
        <f t="shared" si="54"/>
        <v>66121.271501998781</v>
      </c>
      <c r="AN40" s="406">
        <f t="shared" si="54"/>
        <v>60360.849810653861</v>
      </c>
      <c r="AO40" s="406">
        <f t="shared" si="54"/>
        <v>55760.60708701214</v>
      </c>
      <c r="AP40" s="406">
        <f t="shared" si="54"/>
        <v>53902.159903351196</v>
      </c>
      <c r="AQ40" s="406">
        <f t="shared" si="54"/>
        <v>52043.712719690244</v>
      </c>
      <c r="AR40" s="406">
        <f>SUM(AH78*$AC$144, AH86*$AC$145, AH94*$AC$146, AH102*$AC$147, AH110*$AC$148, AH117*$AC$149)</f>
        <v>50185.265536029285</v>
      </c>
      <c r="AS40" s="114">
        <f t="shared" si="51"/>
        <v>-0.34041236117356366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4050</v>
      </c>
      <c r="D41">
        <v>2023</v>
      </c>
      <c r="E41">
        <v>2023</v>
      </c>
      <c r="F41" t="s">
        <v>1781</v>
      </c>
      <c r="G41">
        <f t="shared" si="56"/>
        <v>1.1463657166123775</v>
      </c>
      <c r="H41">
        <v>2020</v>
      </c>
      <c r="I41" t="s">
        <v>1783</v>
      </c>
      <c r="J41" t="s">
        <v>1084</v>
      </c>
      <c r="K41" s="277">
        <f t="shared" si="64"/>
        <v>62.007343707239414</v>
      </c>
      <c r="L41" s="73">
        <f t="shared" si="64"/>
        <v>61.337557323486152</v>
      </c>
      <c r="M41" s="73">
        <f t="shared" si="64"/>
        <v>60.741506516622024</v>
      </c>
      <c r="N41" s="73">
        <f t="shared" si="64"/>
        <v>60.269081868218485</v>
      </c>
      <c r="O41" s="73">
        <f t="shared" si="64"/>
        <v>60.186007170772932</v>
      </c>
      <c r="P41" s="73">
        <f t="shared" si="64"/>
        <v>60.102932473327371</v>
      </c>
      <c r="Q41" s="73">
        <f t="shared" si="64"/>
        <v>60.019857775881796</v>
      </c>
      <c r="R41" s="72" t="s">
        <v>4064</v>
      </c>
      <c r="S41" s="717">
        <v>3</v>
      </c>
      <c r="T41" s="377">
        <v>1</v>
      </c>
      <c r="U41" s="377">
        <v>1</v>
      </c>
      <c r="V41" s="377">
        <v>3</v>
      </c>
      <c r="W41" s="377">
        <v>1</v>
      </c>
      <c r="X41" s="1043"/>
      <c r="Z41" s="1043"/>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4050</v>
      </c>
      <c r="D42">
        <v>2023</v>
      </c>
      <c r="E42">
        <v>2023</v>
      </c>
      <c r="F42" t="s">
        <v>1781</v>
      </c>
      <c r="G42">
        <f t="shared" si="56"/>
        <v>1.1463657166123775</v>
      </c>
      <c r="H42">
        <v>2020</v>
      </c>
      <c r="I42" t="s">
        <v>1783</v>
      </c>
      <c r="J42" t="s">
        <v>1084</v>
      </c>
      <c r="K42" s="277">
        <f t="shared" si="64"/>
        <v>108.88364677882159</v>
      </c>
      <c r="L42" s="73">
        <f t="shared" si="64"/>
        <v>95.707305359954262</v>
      </c>
      <c r="M42" s="73">
        <f t="shared" si="64"/>
        <v>81.82228322923946</v>
      </c>
      <c r="N42" s="73">
        <f t="shared" si="64"/>
        <v>73.248413151873464</v>
      </c>
      <c r="O42" s="73">
        <f t="shared" si="64"/>
        <v>69.787680186165147</v>
      </c>
      <c r="P42" s="73">
        <f t="shared" si="64"/>
        <v>66.326947220456844</v>
      </c>
      <c r="Q42" s="73">
        <f t="shared" si="64"/>
        <v>62.866214254748542</v>
      </c>
      <c r="R42" s="72" t="s">
        <v>4064</v>
      </c>
      <c r="S42" s="717">
        <v>3</v>
      </c>
      <c r="T42" s="377">
        <v>1</v>
      </c>
      <c r="U42" s="377">
        <v>1</v>
      </c>
      <c r="V42" s="377">
        <v>3</v>
      </c>
      <c r="W42" s="377">
        <v>1</v>
      </c>
      <c r="X42" s="1043"/>
      <c r="Z42" s="1043"/>
      <c r="AA42" s="17"/>
      <c r="AB42" s="195"/>
      <c r="AC42" s="195"/>
      <c r="AD42" s="195"/>
      <c r="AE42" s="195"/>
      <c r="AF42" s="195"/>
      <c r="AG42" s="195"/>
      <c r="AH42" s="195"/>
      <c r="AI42" s="85"/>
      <c r="AK42" s="381" t="s">
        <v>905</v>
      </c>
      <c r="AL42" s="406">
        <f>SUM(AB119*$AB$154+AB126*$AB$155)</f>
        <v>150246.27627214757</v>
      </c>
      <c r="AM42" s="406">
        <f t="shared" ref="AM42:AR47" si="65">SUM(AC119*$AB$154+AC126*$AB$155)</f>
        <v>150782.58797038754</v>
      </c>
      <c r="AN42" s="406">
        <f t="shared" si="65"/>
        <v>151846.42801677078</v>
      </c>
      <c r="AO42" s="406">
        <f t="shared" si="65"/>
        <v>152439.21790601243</v>
      </c>
      <c r="AP42" s="406">
        <f t="shared" si="65"/>
        <v>153335.25930908948</v>
      </c>
      <c r="AQ42" s="406">
        <f t="shared" si="65"/>
        <v>154231.30071216659</v>
      </c>
      <c r="AR42" s="406">
        <f t="shared" si="65"/>
        <v>155127.34211524366</v>
      </c>
      <c r="AS42" s="114">
        <f t="shared" ref="AS42:AS47" si="66">(AR42-AL42)/AL42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67">(AY42-AW42)/AW42</f>
        <v>-4.5751633986928046E-2</v>
      </c>
    </row>
    <row r="43" spans="1:61" x14ac:dyDescent="0.25">
      <c r="A43" t="s">
        <v>1071</v>
      </c>
      <c r="B43" t="s">
        <v>95</v>
      </c>
      <c r="C43" t="s">
        <v>4050</v>
      </c>
      <c r="D43">
        <v>2023</v>
      </c>
      <c r="E43">
        <v>2023</v>
      </c>
      <c r="F43" t="s">
        <v>1781</v>
      </c>
      <c r="G43">
        <f t="shared" si="56"/>
        <v>1.1463657166123775</v>
      </c>
      <c r="H43">
        <v>2020</v>
      </c>
      <c r="I43" t="s">
        <v>1783</v>
      </c>
      <c r="J43" t="s">
        <v>1084</v>
      </c>
      <c r="K43" s="277">
        <f t="shared" si="64"/>
        <v>104.39000386964952</v>
      </c>
      <c r="L43" s="73">
        <f t="shared" si="64"/>
        <v>88.297038057727264</v>
      </c>
      <c r="M43" s="73">
        <f t="shared" si="64"/>
        <v>72.012105750159947</v>
      </c>
      <c r="N43" s="73">
        <f t="shared" si="64"/>
        <v>62.970842188327325</v>
      </c>
      <c r="O43" s="73">
        <f t="shared" si="64"/>
        <v>59.092930908314429</v>
      </c>
      <c r="P43" s="73">
        <f t="shared" si="64"/>
        <v>55.215019628301548</v>
      </c>
      <c r="Q43" s="73">
        <f t="shared" si="64"/>
        <v>51.337108348288652</v>
      </c>
      <c r="R43" s="72" t="s">
        <v>4064</v>
      </c>
      <c r="S43" s="717">
        <v>3</v>
      </c>
      <c r="T43" s="377">
        <v>1</v>
      </c>
      <c r="U43" s="377">
        <v>1</v>
      </c>
      <c r="V43" s="377">
        <v>3</v>
      </c>
      <c r="W43" s="377">
        <v>1</v>
      </c>
      <c r="X43" s="1043"/>
      <c r="Z43" s="1043"/>
      <c r="AA43" s="28" t="s">
        <v>3032</v>
      </c>
      <c r="AI43" s="85"/>
      <c r="AK43" s="381" t="s">
        <v>907</v>
      </c>
      <c r="AL43" s="406">
        <f t="shared" ref="AL43:AL47" si="68">SUM(AB120*$AB$154+AB127*$AB$155)</f>
        <v>167224.08809733047</v>
      </c>
      <c r="AM43" s="406">
        <f t="shared" si="65"/>
        <v>165077.09380220351</v>
      </c>
      <c r="AN43" s="406">
        <f t="shared" si="65"/>
        <v>164473.13866499456</v>
      </c>
      <c r="AO43" s="406">
        <f t="shared" si="65"/>
        <v>163713.04834341627</v>
      </c>
      <c r="AP43" s="406">
        <f t="shared" si="65"/>
        <v>164395.96629278941</v>
      </c>
      <c r="AQ43" s="406">
        <f t="shared" si="65"/>
        <v>165078.88424216252</v>
      </c>
      <c r="AR43" s="406">
        <f t="shared" si="65"/>
        <v>165761.80219153559</v>
      </c>
      <c r="AS43" s="114">
        <f t="shared" si="66"/>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67"/>
        <v>-0.54278074866310155</v>
      </c>
    </row>
    <row r="44" spans="1:61" x14ac:dyDescent="0.25">
      <c r="A44" t="s">
        <v>1072</v>
      </c>
      <c r="B44" t="s">
        <v>95</v>
      </c>
      <c r="C44" t="s">
        <v>4050</v>
      </c>
      <c r="D44">
        <v>2023</v>
      </c>
      <c r="E44">
        <v>2023</v>
      </c>
      <c r="F44" t="s">
        <v>1781</v>
      </c>
      <c r="G44">
        <f t="shared" si="56"/>
        <v>1.1463657166123775</v>
      </c>
      <c r="H44">
        <v>2020</v>
      </c>
      <c r="I44" t="s">
        <v>1783</v>
      </c>
      <c r="J44" t="s">
        <v>1084</v>
      </c>
      <c r="K44" s="277">
        <f t="shared" si="64"/>
        <v>80.430443357663933</v>
      </c>
      <c r="L44" s="73">
        <f t="shared" si="64"/>
        <v>69.661287180127999</v>
      </c>
      <c r="M44" s="73">
        <f t="shared" si="64"/>
        <v>64.380029548360909</v>
      </c>
      <c r="N44" s="73">
        <f t="shared" si="64"/>
        <v>60.100707987759584</v>
      </c>
      <c r="O44" s="73">
        <f t="shared" si="64"/>
        <v>58.459565516397419</v>
      </c>
      <c r="P44" s="73">
        <f t="shared" si="64"/>
        <v>56.818423045035253</v>
      </c>
      <c r="Q44" s="73">
        <f t="shared" si="64"/>
        <v>55.17728057367308</v>
      </c>
      <c r="R44" s="72" t="s">
        <v>4064</v>
      </c>
      <c r="S44" s="717">
        <v>3</v>
      </c>
      <c r="T44" s="377">
        <v>1</v>
      </c>
      <c r="U44" s="377">
        <v>1</v>
      </c>
      <c r="V44" s="377">
        <v>3</v>
      </c>
      <c r="W44" s="377">
        <v>1</v>
      </c>
      <c r="X44" s="1043"/>
      <c r="Z44" s="1043"/>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69">($AH44-$AE44)/3 + AF44</f>
        <v>26904.901420086866</v>
      </c>
      <c r="AH44" s="195" cm="1">
        <f t="array" ref="AH44">AVERAGE(_xlfn._xlws.FILTER('Autonomie 2023 LDV'!$AH:$AH, ('Autonomie 2023 LDV'!$A:$A=$AA44)*('Autonomie 2023 LDV'!$B:$B=AH$3)*('Autonomie 2023 LDV'!$D:$D="Midsize SUV")))</f>
        <v>26868.053051343133</v>
      </c>
      <c r="AI44" s="85">
        <f t="shared" ref="AI44:AI54" si="70">(AH44-AB44)/AB44</f>
        <v>6.749833234095716E-2</v>
      </c>
      <c r="AK44" s="381" t="s">
        <v>908</v>
      </c>
      <c r="AL44" s="406">
        <f t="shared" si="68"/>
        <v>554821.43512629077</v>
      </c>
      <c r="AM44" s="406">
        <f t="shared" si="65"/>
        <v>448493.12670760433</v>
      </c>
      <c r="AN44" s="406">
        <f t="shared" si="65"/>
        <v>343108.38043889531</v>
      </c>
      <c r="AO44" s="406">
        <f t="shared" si="65"/>
        <v>283839.86692235229</v>
      </c>
      <c r="AP44" s="406">
        <f t="shared" si="65"/>
        <v>259003.27830938564</v>
      </c>
      <c r="AQ44" s="406">
        <f t="shared" si="65"/>
        <v>234166.68969641894</v>
      </c>
      <c r="AR44" s="406">
        <f t="shared" si="65"/>
        <v>209330.10108345223</v>
      </c>
      <c r="AS44" s="114">
        <f t="shared" si="66"/>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67"/>
        <v>-0.45744680851063829</v>
      </c>
    </row>
    <row r="45" spans="1:61" x14ac:dyDescent="0.25">
      <c r="A45" t="s">
        <v>1073</v>
      </c>
      <c r="B45" t="s">
        <v>95</v>
      </c>
      <c r="C45" t="s">
        <v>4050</v>
      </c>
      <c r="D45">
        <v>2023</v>
      </c>
      <c r="E45">
        <v>2023</v>
      </c>
      <c r="F45" t="s">
        <v>1781</v>
      </c>
      <c r="G45">
        <f t="shared" si="56"/>
        <v>1.1463657166123775</v>
      </c>
      <c r="H45">
        <v>2020</v>
      </c>
      <c r="I45" t="s">
        <v>1783</v>
      </c>
      <c r="J45" t="s">
        <v>1084</v>
      </c>
      <c r="K45" s="277">
        <f t="shared" si="64"/>
        <v>76.085818747787386</v>
      </c>
      <c r="L45" s="73">
        <f t="shared" si="64"/>
        <v>66.121271501998777</v>
      </c>
      <c r="M45" s="73">
        <f t="shared" si="64"/>
        <v>60.36084981065386</v>
      </c>
      <c r="N45" s="73">
        <f t="shared" si="64"/>
        <v>55.76060708701214</v>
      </c>
      <c r="O45" s="73">
        <f t="shared" si="64"/>
        <v>53.902159903351198</v>
      </c>
      <c r="P45" s="73">
        <f t="shared" si="64"/>
        <v>52.043712719690241</v>
      </c>
      <c r="Q45" s="73">
        <f t="shared" si="64"/>
        <v>50.185265536029284</v>
      </c>
      <c r="R45" s="72" t="s">
        <v>4064</v>
      </c>
      <c r="S45" s="717">
        <v>3</v>
      </c>
      <c r="T45" s="377">
        <v>1</v>
      </c>
      <c r="U45" s="377">
        <v>1</v>
      </c>
      <c r="V45" s="377">
        <v>3</v>
      </c>
      <c r="W45" s="377">
        <v>1</v>
      </c>
      <c r="X45" s="1043"/>
      <c r="Z45" s="1043"/>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1">($AH45-$AE45)/3 + AE45</f>
        <v>28623.939268993519</v>
      </c>
      <c r="AG45" s="195">
        <f t="shared" ref="AG45:AG54" si="72">($AH45-$AE45)/3 + AF45</f>
        <v>28587.049277987258</v>
      </c>
      <c r="AH45" s="195" cm="1">
        <f t="array" ref="AH45">AVERAGE(_xlfn._xlws.FILTER('Autonomie 2023 LDV'!$AH:$AH, ('Autonomie 2023 LDV'!$A:$A=$AA45)*('Autonomie 2023 LDV'!$B:$B=AH$3)*('Autonomie 2023 LDV'!$D:$D="Midsize SUV")))</f>
        <v>28550.159286980994</v>
      </c>
      <c r="AI45" s="85">
        <f t="shared" si="70"/>
        <v>-2.9411794678895192E-3</v>
      </c>
      <c r="AK45" s="381" t="s">
        <v>247</v>
      </c>
      <c r="AL45" s="406">
        <f t="shared" si="68"/>
        <v>603787.38753388135</v>
      </c>
      <c r="AM45" s="406">
        <f t="shared" si="65"/>
        <v>479895.13155953691</v>
      </c>
      <c r="AN45" s="406">
        <f t="shared" si="65"/>
        <v>354540.6002907189</v>
      </c>
      <c r="AO45" s="406">
        <f t="shared" si="65"/>
        <v>290206.34093677724</v>
      </c>
      <c r="AP45" s="406">
        <f t="shared" si="65"/>
        <v>261314.76217455234</v>
      </c>
      <c r="AQ45" s="406">
        <f t="shared" si="65"/>
        <v>232423.18341232749</v>
      </c>
      <c r="AR45" s="406">
        <f t="shared" si="65"/>
        <v>203531.60465010261</v>
      </c>
      <c r="AS45" s="114">
        <f t="shared" si="66"/>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67"/>
        <v>-7.8947368421052488E-2</v>
      </c>
    </row>
    <row r="46" spans="1:61" x14ac:dyDescent="0.25">
      <c r="A46" t="s">
        <v>1074</v>
      </c>
      <c r="B46" t="s">
        <v>95</v>
      </c>
      <c r="C46" t="s">
        <v>4050</v>
      </c>
      <c r="D46">
        <v>2023</v>
      </c>
      <c r="E46">
        <v>2023</v>
      </c>
      <c r="F46" t="s">
        <v>1781</v>
      </c>
      <c r="G46">
        <f t="shared" si="56"/>
        <v>1.1463657166123775</v>
      </c>
      <c r="H46">
        <v>2020</v>
      </c>
      <c r="I46" t="s">
        <v>1783</v>
      </c>
      <c r="J46" t="s">
        <v>1084</v>
      </c>
      <c r="K46" s="277">
        <f t="shared" ref="K46:Q51" si="73">AL42*1000/1000000</f>
        <v>150.24627627214755</v>
      </c>
      <c r="L46" s="73">
        <f t="shared" si="73"/>
        <v>150.78258797038754</v>
      </c>
      <c r="M46" s="73">
        <f t="shared" si="73"/>
        <v>151.84642801677077</v>
      </c>
      <c r="N46" s="73">
        <f t="shared" si="73"/>
        <v>152.43921790601246</v>
      </c>
      <c r="O46" s="73">
        <f t="shared" si="73"/>
        <v>153.33525930908948</v>
      </c>
      <c r="P46" s="73">
        <f t="shared" si="73"/>
        <v>154.23130071216659</v>
      </c>
      <c r="Q46" s="73">
        <f t="shared" si="73"/>
        <v>155.12734211524366</v>
      </c>
      <c r="R46" s="72" t="s">
        <v>4057</v>
      </c>
      <c r="S46" s="717">
        <v>3</v>
      </c>
      <c r="T46" s="377">
        <v>1</v>
      </c>
      <c r="U46" s="377">
        <v>1</v>
      </c>
      <c r="V46" s="377">
        <v>3</v>
      </c>
      <c r="W46" s="377">
        <v>1</v>
      </c>
      <c r="X46" s="1043"/>
      <c r="Z46" s="1043"/>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1"/>
        <v>30970.892800028665</v>
      </c>
      <c r="AG46" s="195">
        <f t="shared" si="72"/>
        <v>30934.374105541832</v>
      </c>
      <c r="AH46" s="195" cm="1">
        <f t="array" ref="AH46">AVERAGE(_xlfn._xlws.FILTER('Autonomie 2023 LDV'!$AH:$AH, ('Autonomie 2023 LDV'!$A:$A=$AA46)*('Autonomie 2023 LDV'!$B:$B=AH$3)*('Autonomie 2023 LDV'!$D:$D="Midsize SUV")))</f>
        <v>30897.855411055003</v>
      </c>
      <c r="AI46" s="85">
        <f t="shared" si="70"/>
        <v>-3.7607852440378091E-3</v>
      </c>
      <c r="AK46" s="381" t="s">
        <v>567</v>
      </c>
      <c r="AL46" s="406">
        <f t="shared" si="68"/>
        <v>355939.14742547512</v>
      </c>
      <c r="AM46" s="406">
        <f t="shared" si="65"/>
        <v>303228.8200657639</v>
      </c>
      <c r="AN46" s="406">
        <f t="shared" si="65"/>
        <v>263849.22870213032</v>
      </c>
      <c r="AO46" s="406">
        <f t="shared" si="65"/>
        <v>238862.92303494335</v>
      </c>
      <c r="AP46" s="406">
        <f t="shared" si="65"/>
        <v>225690.85079897277</v>
      </c>
      <c r="AQ46" s="406">
        <f t="shared" si="65"/>
        <v>212518.77856300218</v>
      </c>
      <c r="AR46" s="406">
        <f t="shared" si="65"/>
        <v>199346.70632703163</v>
      </c>
      <c r="AS46" s="114">
        <f t="shared" si="66"/>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67"/>
        <v>-0.16292134831460683</v>
      </c>
    </row>
    <row r="47" spans="1:61" x14ac:dyDescent="0.25">
      <c r="A47" t="s">
        <v>1075</v>
      </c>
      <c r="B47" t="s">
        <v>95</v>
      </c>
      <c r="C47" t="s">
        <v>4050</v>
      </c>
      <c r="D47">
        <v>2023</v>
      </c>
      <c r="E47">
        <v>2023</v>
      </c>
      <c r="F47" t="s">
        <v>1781</v>
      </c>
      <c r="G47">
        <f t="shared" si="56"/>
        <v>1.1463657166123775</v>
      </c>
      <c r="H47">
        <v>2020</v>
      </c>
      <c r="I47" t="s">
        <v>1783</v>
      </c>
      <c r="J47" t="s">
        <v>1084</v>
      </c>
      <c r="K47" s="277">
        <f t="shared" si="73"/>
        <v>167.22408809733048</v>
      </c>
      <c r="L47" s="73">
        <f t="shared" si="73"/>
        <v>165.07709380220351</v>
      </c>
      <c r="M47" s="73">
        <f t="shared" si="73"/>
        <v>164.47313866499456</v>
      </c>
      <c r="N47" s="73">
        <f t="shared" si="73"/>
        <v>163.71304834341626</v>
      </c>
      <c r="O47" s="73">
        <f t="shared" si="73"/>
        <v>164.39596629278941</v>
      </c>
      <c r="P47" s="73">
        <f t="shared" si="73"/>
        <v>165.07888424216253</v>
      </c>
      <c r="Q47" s="73">
        <f t="shared" si="73"/>
        <v>165.76180219153559</v>
      </c>
      <c r="R47" s="72" t="s">
        <v>4057</v>
      </c>
      <c r="S47" s="717">
        <v>3</v>
      </c>
      <c r="T47" s="377">
        <v>1</v>
      </c>
      <c r="U47" s="377">
        <v>1</v>
      </c>
      <c r="V47" s="377">
        <v>3</v>
      </c>
      <c r="W47" s="377">
        <v>1</v>
      </c>
      <c r="X47" s="1043"/>
      <c r="Z47" s="1043"/>
      <c r="AA47" s="17" t="s">
        <v>3001</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1"/>
        <v>26523.770609403819</v>
      </c>
      <c r="AG47" s="195">
        <f t="shared" si="72"/>
        <v>26199.83733588054</v>
      </c>
      <c r="AH47" s="195" cm="1">
        <f t="array" ref="AH47">AVERAGE(_xlfn._xlws.FILTER('Autonomie 2023 LDV'!$AH:$AH, ('Autonomie 2023 LDV'!$A:$A=$AA47)*('Autonomie 2023 LDV'!$B:$B=AH$3)*('Autonomie 2023 LDV'!$D:$D="Midsize SUV")))</f>
        <v>25875.904062357266</v>
      </c>
      <c r="AI47" s="85">
        <f t="shared" si="70"/>
        <v>-0.10526836822464931</v>
      </c>
      <c r="AK47" s="381" t="s">
        <v>929</v>
      </c>
      <c r="AL47" s="406">
        <f t="shared" si="68"/>
        <v>286761.40195296908</v>
      </c>
      <c r="AM47" s="406">
        <f t="shared" si="65"/>
        <v>243739.21751992987</v>
      </c>
      <c r="AN47" s="406">
        <f t="shared" si="65"/>
        <v>209708.80716117963</v>
      </c>
      <c r="AO47" s="406">
        <f t="shared" si="65"/>
        <v>186801.31655752275</v>
      </c>
      <c r="AP47" s="406">
        <f t="shared" si="65"/>
        <v>176394.72579162332</v>
      </c>
      <c r="AQ47" s="406">
        <f t="shared" si="65"/>
        <v>165988.13502572392</v>
      </c>
      <c r="AR47" s="406">
        <f t="shared" si="65"/>
        <v>155581.54425982453</v>
      </c>
      <c r="AS47" s="114">
        <f t="shared" si="66"/>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67"/>
        <v>-0.13529411764705879</v>
      </c>
    </row>
    <row r="48" spans="1:61" ht="15.75" thickBot="1" x14ac:dyDescent="0.3">
      <c r="A48" t="s">
        <v>1076</v>
      </c>
      <c r="B48" t="s">
        <v>95</v>
      </c>
      <c r="C48" t="s">
        <v>4050</v>
      </c>
      <c r="D48">
        <v>2023</v>
      </c>
      <c r="E48">
        <v>2023</v>
      </c>
      <c r="F48" t="s">
        <v>1781</v>
      </c>
      <c r="G48">
        <f t="shared" si="56"/>
        <v>1.1463657166123775</v>
      </c>
      <c r="H48">
        <v>2020</v>
      </c>
      <c r="I48" t="s">
        <v>1783</v>
      </c>
      <c r="J48" t="s">
        <v>1084</v>
      </c>
      <c r="K48" s="277">
        <f t="shared" si="73"/>
        <v>554.82143512629079</v>
      </c>
      <c r="L48" s="73">
        <f t="shared" si="73"/>
        <v>448.49312670760435</v>
      </c>
      <c r="M48" s="73">
        <f t="shared" si="73"/>
        <v>343.10838043889527</v>
      </c>
      <c r="N48" s="73">
        <f t="shared" si="73"/>
        <v>283.83986692235231</v>
      </c>
      <c r="O48" s="73">
        <f t="shared" si="73"/>
        <v>259.00327830938562</v>
      </c>
      <c r="P48" s="73">
        <f t="shared" si="73"/>
        <v>234.16668969641893</v>
      </c>
      <c r="Q48" s="73">
        <f t="shared" si="73"/>
        <v>209.33010108345223</v>
      </c>
      <c r="R48" s="72" t="s">
        <v>4057</v>
      </c>
      <c r="S48" s="717">
        <v>3</v>
      </c>
      <c r="T48" s="377">
        <v>1</v>
      </c>
      <c r="U48" s="377">
        <v>1</v>
      </c>
      <c r="V48" s="377">
        <v>3</v>
      </c>
      <c r="W48" s="377">
        <v>1</v>
      </c>
      <c r="X48" s="1043"/>
      <c r="Z48" s="1043"/>
      <c r="AA48" s="17" t="s">
        <v>4423</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1"/>
        <v>29689.59118928192</v>
      </c>
      <c r="AG48" s="195">
        <f t="shared" si="72"/>
        <v>29309.864743977036</v>
      </c>
      <c r="AH48" s="195" cm="1">
        <f t="array" ref="AH48">AVERAGE(_xlfn._xlws.FILTER('Autonomie 2023 LDV'!$AH:$AH, ('Autonomie 2023 LDV'!$A:$A=$AA48)*('Autonomie 2023 LDV'!$B:$B=AH$3)*('Autonomie 2023 LDV'!$D:$D="Midsize SUV")))</f>
        <v>28930.138298672147</v>
      </c>
      <c r="AI48" s="85">
        <f t="shared" si="70"/>
        <v>-8.6104901533485878E-2</v>
      </c>
      <c r="AK48" s="379" t="s">
        <v>1116</v>
      </c>
      <c r="AS48" s="114"/>
      <c r="AT48" s="63"/>
      <c r="AV48" s="4" t="s">
        <v>1051</v>
      </c>
      <c r="AZ48" s="85"/>
    </row>
    <row r="49" spans="1:52" x14ac:dyDescent="0.25">
      <c r="A49" t="s">
        <v>1077</v>
      </c>
      <c r="B49" t="s">
        <v>95</v>
      </c>
      <c r="C49" t="s">
        <v>4050</v>
      </c>
      <c r="D49">
        <v>2023</v>
      </c>
      <c r="E49">
        <v>2023</v>
      </c>
      <c r="F49" t="s">
        <v>1781</v>
      </c>
      <c r="G49">
        <f t="shared" si="56"/>
        <v>1.1463657166123775</v>
      </c>
      <c r="H49">
        <v>2020</v>
      </c>
      <c r="I49" t="s">
        <v>1783</v>
      </c>
      <c r="J49" t="s">
        <v>1084</v>
      </c>
      <c r="K49" s="277">
        <f t="shared" si="73"/>
        <v>603.78738753388131</v>
      </c>
      <c r="L49" s="73">
        <f t="shared" si="73"/>
        <v>479.89513155953694</v>
      </c>
      <c r="M49" s="73">
        <f t="shared" si="73"/>
        <v>354.54060029071888</v>
      </c>
      <c r="N49" s="73">
        <f t="shared" si="73"/>
        <v>290.20634093677722</v>
      </c>
      <c r="O49" s="73">
        <f t="shared" si="73"/>
        <v>261.3147621745523</v>
      </c>
      <c r="P49" s="73">
        <f t="shared" si="73"/>
        <v>232.42318341232749</v>
      </c>
      <c r="Q49" s="73">
        <f t="shared" si="73"/>
        <v>203.53160465010262</v>
      </c>
      <c r="R49" s="72" t="s">
        <v>4057</v>
      </c>
      <c r="S49" s="717">
        <v>3</v>
      </c>
      <c r="T49" s="377">
        <v>1</v>
      </c>
      <c r="U49" s="377">
        <v>1</v>
      </c>
      <c r="V49" s="377">
        <v>3</v>
      </c>
      <c r="W49" s="377">
        <v>1</v>
      </c>
      <c r="X49" s="1043"/>
      <c r="Z49" s="1043"/>
      <c r="AA49" s="17" t="s">
        <v>4424</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1"/>
        <v>30703.867338849566</v>
      </c>
      <c r="AG49" s="195">
        <f t="shared" si="72"/>
        <v>30269.617503488713</v>
      </c>
      <c r="AH49" s="195" cm="1">
        <f t="array" ref="AH49">AVERAGE(_xlfn._xlws.FILTER('Autonomie 2023 LDV'!$AH:$AH, ('Autonomie 2023 LDV'!$A:$A=$AA49)*('Autonomie 2023 LDV'!$B:$B=AH$3)*('Autonomie 2023 LDV'!$D:$D="Midsize SUV")))</f>
        <v>29835.367668127863</v>
      </c>
      <c r="AI49" s="85">
        <f t="shared" si="70"/>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4">($AR49-$AO49)/3 + AO49</f>
        <v>85801.434754857066</v>
      </c>
      <c r="AQ49" s="406">
        <f t="shared" si="74"/>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75">(AR49-AL49)/AL49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76">(AY49-AW49)/AW49</f>
        <v>-3.636363636363641E-2</v>
      </c>
    </row>
    <row r="50" spans="1:52" ht="15.75" thickBot="1" x14ac:dyDescent="0.3">
      <c r="A50" t="s">
        <v>1078</v>
      </c>
      <c r="B50" t="s">
        <v>95</v>
      </c>
      <c r="C50" t="s">
        <v>4050</v>
      </c>
      <c r="D50">
        <v>2023</v>
      </c>
      <c r="E50">
        <v>2023</v>
      </c>
      <c r="F50" t="s">
        <v>1781</v>
      </c>
      <c r="G50">
        <f t="shared" si="56"/>
        <v>1.1463657166123775</v>
      </c>
      <c r="H50">
        <v>2020</v>
      </c>
      <c r="I50" t="s">
        <v>1783</v>
      </c>
      <c r="J50" t="s">
        <v>1084</v>
      </c>
      <c r="K50" s="277">
        <f t="shared" si="73"/>
        <v>355.93914742547514</v>
      </c>
      <c r="L50" s="73">
        <f t="shared" si="73"/>
        <v>303.2288200657639</v>
      </c>
      <c r="M50" s="73">
        <f t="shared" si="73"/>
        <v>263.84922870213029</v>
      </c>
      <c r="N50" s="73">
        <f t="shared" si="73"/>
        <v>238.86292303494335</v>
      </c>
      <c r="O50" s="73">
        <f t="shared" si="73"/>
        <v>225.69085079897275</v>
      </c>
      <c r="P50" s="73">
        <f t="shared" si="73"/>
        <v>212.51877856300217</v>
      </c>
      <c r="Q50" s="73">
        <f t="shared" si="73"/>
        <v>199.34670632703165</v>
      </c>
      <c r="R50" s="72" t="s">
        <v>4057</v>
      </c>
      <c r="S50" s="717">
        <v>3</v>
      </c>
      <c r="T50" s="377">
        <v>1</v>
      </c>
      <c r="U50" s="377">
        <v>1</v>
      </c>
      <c r="V50" s="377">
        <v>3</v>
      </c>
      <c r="W50" s="377">
        <v>1</v>
      </c>
      <c r="X50" s="1043"/>
      <c r="Z50" s="1043"/>
      <c r="AA50" s="17" t="s">
        <v>2997</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1"/>
        <v>22138.133975925626</v>
      </c>
      <c r="AG50" s="195">
        <f t="shared" si="72"/>
        <v>21600.294356113271</v>
      </c>
      <c r="AH50" s="195" cm="1">
        <f t="array" ref="AH50">AVERAGE(_xlfn._xlws.FILTER('Autonomie 2023 LDV'!$AH:$AH, ('Autonomie 2023 LDV'!$A:$A=$AA50)*('Autonomie 2023 LDV'!$B:$B=AH$3)*('Autonomie 2023 LDV'!$D:$D="Midsize SUV")))</f>
        <v>21062.454736300911</v>
      </c>
      <c r="AI50" s="85">
        <f t="shared" si="70"/>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4"/>
        <v>93376.27435805912</v>
      </c>
      <c r="AQ50" s="406">
        <f t="shared" si="74"/>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75"/>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76"/>
        <v>-0.60621761658031081</v>
      </c>
    </row>
    <row r="51" spans="1:52" x14ac:dyDescent="0.25">
      <c r="A51" t="s">
        <v>1079</v>
      </c>
      <c r="B51" t="s">
        <v>95</v>
      </c>
      <c r="C51" t="s">
        <v>4050</v>
      </c>
      <c r="D51">
        <v>2023</v>
      </c>
      <c r="E51">
        <v>2023</v>
      </c>
      <c r="F51" t="s">
        <v>1781</v>
      </c>
      <c r="G51">
        <f t="shared" si="56"/>
        <v>1.1463657166123775</v>
      </c>
      <c r="H51">
        <v>2020</v>
      </c>
      <c r="I51" t="s">
        <v>1783</v>
      </c>
      <c r="J51" t="s">
        <v>1084</v>
      </c>
      <c r="K51" s="277">
        <f t="shared" si="73"/>
        <v>286.76140195296909</v>
      </c>
      <c r="L51" s="73">
        <f t="shared" si="73"/>
        <v>243.73921751992987</v>
      </c>
      <c r="M51" s="73">
        <f t="shared" si="73"/>
        <v>209.70880716117964</v>
      </c>
      <c r="N51" s="73">
        <f t="shared" si="73"/>
        <v>186.80131655752274</v>
      </c>
      <c r="O51" s="73">
        <f t="shared" si="73"/>
        <v>176.39472579162333</v>
      </c>
      <c r="P51" s="73">
        <f t="shared" si="73"/>
        <v>165.98813502572392</v>
      </c>
      <c r="Q51" s="73">
        <f t="shared" si="73"/>
        <v>155.58154425982451</v>
      </c>
      <c r="R51" s="72" t="s">
        <v>4057</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1"/>
        <v>23727.654186169377</v>
      </c>
      <c r="AG51" s="195">
        <f t="shared" si="72"/>
        <v>22957.451656533893</v>
      </c>
      <c r="AH51" s="195" cm="1">
        <f t="array" ref="AH51">AVERAGE(_xlfn._xlws.FILTER('Autonomie 2023 LDV'!$AH:$AH, ('Autonomie 2023 LDV'!$A:$A=$AA51)*('Autonomie 2023 LDV'!$B:$B=AH$3)*('Autonomie 2023 LDV'!$D:$D="Midsize SUV")))</f>
        <v>22187.249126898405</v>
      </c>
      <c r="AI51" s="85">
        <f t="shared" si="70"/>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4"/>
        <v>107245.36366192812</v>
      </c>
      <c r="AQ51" s="406">
        <f t="shared" si="74"/>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75"/>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76"/>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77">BC39/1000</f>
        <v>9.4662661191381545</v>
      </c>
      <c r="L52" s="73">
        <f t="shared" si="77"/>
        <v>9.4662661191381545</v>
      </c>
      <c r="M52" s="73">
        <f t="shared" si="77"/>
        <v>9.4662661191381545</v>
      </c>
      <c r="N52" s="73">
        <f t="shared" si="77"/>
        <v>9.4662661191381545</v>
      </c>
      <c r="O52" s="73">
        <f t="shared" si="77"/>
        <v>9.4662661191381545</v>
      </c>
      <c r="P52" s="73">
        <f t="shared" si="77"/>
        <v>9.4662661191381545</v>
      </c>
      <c r="Q52" s="73">
        <f t="shared" si="77"/>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1"/>
        <v>26874.750793517422</v>
      </c>
      <c r="AG52" s="195">
        <f t="shared" si="72"/>
        <v>25902.646123958704</v>
      </c>
      <c r="AH52" s="195" cm="1">
        <f t="array" ref="AH52">AVERAGE(_xlfn._xlws.FILTER('Autonomie 2023 LDV'!$AH:$AH, ('Autonomie 2023 LDV'!$A:$A=$AA52)*('Autonomie 2023 LDV'!$B:$B=AH$3)*('Autonomie 2023 LDV'!$D:$D="Midsize SUV")))</f>
        <v>24930.54145439999</v>
      </c>
      <c r="AI52" s="85">
        <f t="shared" si="70"/>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4"/>
        <v>97859.872191903123</v>
      </c>
      <c r="AQ52" s="406">
        <f t="shared" si="74"/>
        <v>92888.247394567967</v>
      </c>
      <c r="AR52" s="406" cm="1">
        <f t="array" ref="AR52">SUMPRODUCT(_xlfn._xlws.FILTER('Autonomie 2023 MHDV'!$AL:$AL,('Autonomie 2023 MHDV'!$A:$A=$AK52)*('Autonomie 2023 MHDV'!$B:$B=AR$32)*('Autonomie 2023 MHDV'!$D:$D="School")), $AB$154:$AB$155)</f>
        <v>87916.622597232825</v>
      </c>
      <c r="AS52" s="114">
        <f t="shared" si="75"/>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76"/>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77"/>
        <v>8.5455062999805875</v>
      </c>
      <c r="L53" s="73">
        <f t="shared" si="77"/>
        <v>8.4503306822273014</v>
      </c>
      <c r="M53" s="73">
        <f t="shared" si="77"/>
        <v>8.3551550644740153</v>
      </c>
      <c r="N53" s="73">
        <f t="shared" si="77"/>
        <v>8.259979446720731</v>
      </c>
      <c r="O53" s="73">
        <f t="shared" si="77"/>
        <v>8.259979446720731</v>
      </c>
      <c r="P53" s="73">
        <f t="shared" si="77"/>
        <v>8.259979446720731</v>
      </c>
      <c r="Q53" s="73">
        <f t="shared" si="77"/>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1"/>
        <v>31199.948184298508</v>
      </c>
      <c r="AG53" s="195">
        <f t="shared" si="72"/>
        <v>29798.164500125651</v>
      </c>
      <c r="AH53" s="195" cm="1">
        <f t="array" ref="AH53">AVERAGE(_xlfn._xlws.FILTER('Autonomie 2023 LDV'!$AH:$AH, ('Autonomie 2023 LDV'!$A:$A=$AA53)*('Autonomie 2023 LDV'!$B:$B=AH$3)*('Autonomie 2023 LDV'!$D:$D="Midsize SUV")))</f>
        <v>28396.380815952791</v>
      </c>
      <c r="AI53" s="85">
        <f t="shared" si="70"/>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4"/>
        <v>96533.102864742628</v>
      </c>
      <c r="AQ53" s="406">
        <f t="shared" si="74"/>
        <v>94525.290949206392</v>
      </c>
      <c r="AR53" s="406" cm="1">
        <f t="array" ref="AR53">SUMPRODUCT(_xlfn._xlws.FILTER('Autonomie 2023 MHDV'!$AL:$AL,('Autonomie 2023 MHDV'!$A:$A=$AK53)*('Autonomie 2023 MHDV'!$B:$B=AR$32)*('Autonomie 2023 MHDV'!$D:$D="School")), $AB$154:$AB$155)</f>
        <v>92517.479033670155</v>
      </c>
      <c r="AS53" s="114">
        <f t="shared" si="75"/>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76"/>
        <v>-0.26363636363636356</v>
      </c>
    </row>
    <row r="54" spans="1:52" x14ac:dyDescent="0.25">
      <c r="A54" t="s">
        <v>1094</v>
      </c>
      <c r="B54" t="s">
        <v>95</v>
      </c>
      <c r="C54" t="s">
        <v>4050</v>
      </c>
      <c r="D54">
        <v>2023</v>
      </c>
      <c r="E54">
        <v>2023</v>
      </c>
      <c r="F54" t="s">
        <v>1781</v>
      </c>
      <c r="G54">
        <f t="shared" ref="G54:G74" si="78">USD2023_to_CAD2020</f>
        <v>1.1463657166123775</v>
      </c>
      <c r="H54">
        <v>2020</v>
      </c>
      <c r="I54" t="s">
        <v>1783</v>
      </c>
      <c r="J54" t="s">
        <v>1084</v>
      </c>
      <c r="K54" s="277">
        <f t="shared" ref="K54:Q54" si="79">K55*$AT$50</f>
        <v>77.540021257687656</v>
      </c>
      <c r="L54" s="73">
        <f t="shared" si="79"/>
        <v>78.245110589410828</v>
      </c>
      <c r="M54" s="73">
        <f t="shared" si="79"/>
        <v>78.920169466644737</v>
      </c>
      <c r="N54" s="73">
        <f t="shared" si="79"/>
        <v>79.043914616166305</v>
      </c>
      <c r="O54" s="73">
        <f t="shared" si="79"/>
        <v>79.201324389098843</v>
      </c>
      <c r="P54" s="73">
        <f t="shared" si="79"/>
        <v>79.358734162031354</v>
      </c>
      <c r="Q54" s="73">
        <f t="shared" si="79"/>
        <v>79.516143934963864</v>
      </c>
      <c r="R54" s="72" t="s">
        <v>4058</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1"/>
        <v>31554.034673174931</v>
      </c>
      <c r="AG54" s="195">
        <f t="shared" si="72"/>
        <v>30218.315266894795</v>
      </c>
      <c r="AH54" s="195" cm="1">
        <f t="array" ref="AH54">AVERAGE(_xlfn._xlws.FILTER('Autonomie 2023 LDV'!$AH:$AH, ('Autonomie 2023 LDV'!$A:$A=$AA54)*('Autonomie 2023 LDV'!$B:$B=AH$3)*('Autonomie 2023 LDV'!$D:$D="Midsize SUV")))</f>
        <v>28882.595860614663</v>
      </c>
      <c r="AI54" s="85">
        <f t="shared" si="70"/>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4"/>
        <v>90625.175058952096</v>
      </c>
      <c r="AQ54" s="406">
        <f t="shared" si="74"/>
        <v>88089.107666728669</v>
      </c>
      <c r="AR54" s="406" cm="1">
        <f t="array" ref="AR54">SUMPRODUCT(_xlfn._xlws.FILTER('Autonomie 2023 MHDV'!$AL:$AL,('Autonomie 2023 MHDV'!$A:$A=$AK54)*('Autonomie 2023 MHDV'!$B:$B=AR$32)*('Autonomie 2023 MHDV'!$D:$D="School")), $AB$154:$AB$155)</f>
        <v>85553.040274505256</v>
      </c>
      <c r="AS54" s="114">
        <f t="shared" si="75"/>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76"/>
        <v>-0.14136125654450271</v>
      </c>
    </row>
    <row r="55" spans="1:52" ht="15.75" thickBot="1" x14ac:dyDescent="0.3">
      <c r="A55" t="s">
        <v>1095</v>
      </c>
      <c r="B55" t="s">
        <v>95</v>
      </c>
      <c r="C55" t="s">
        <v>4050</v>
      </c>
      <c r="D55">
        <v>2023</v>
      </c>
      <c r="E55">
        <v>2023</v>
      </c>
      <c r="F55" t="s">
        <v>1781</v>
      </c>
      <c r="G55">
        <f t="shared" si="78"/>
        <v>1.1463657166123775</v>
      </c>
      <c r="H55">
        <v>2020</v>
      </c>
      <c r="I55" t="s">
        <v>1783</v>
      </c>
      <c r="J55" t="s">
        <v>1084</v>
      </c>
      <c r="K55" s="277">
        <f t="shared" ref="K55:Q55" si="80">AL49*1000/1000000</f>
        <v>84.00168969582829</v>
      </c>
      <c r="L55" s="73">
        <f t="shared" si="80"/>
        <v>84.765536471861722</v>
      </c>
      <c r="M55" s="73">
        <f t="shared" si="80"/>
        <v>85.496850255531797</v>
      </c>
      <c r="N55" s="73">
        <f t="shared" si="80"/>
        <v>85.630907500846831</v>
      </c>
      <c r="O55" s="73">
        <f t="shared" si="80"/>
        <v>85.80143475485707</v>
      </c>
      <c r="P55" s="73">
        <f t="shared" si="80"/>
        <v>85.971962008867294</v>
      </c>
      <c r="Q55" s="73">
        <f t="shared" si="80"/>
        <v>86.142489262877518</v>
      </c>
      <c r="R55" s="72" t="s">
        <v>4059</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4050</v>
      </c>
      <c r="D56">
        <v>2023</v>
      </c>
      <c r="E56">
        <v>2023</v>
      </c>
      <c r="F56" t="s">
        <v>1781</v>
      </c>
      <c r="G56">
        <f t="shared" si="78"/>
        <v>1.1463657166123775</v>
      </c>
      <c r="H56">
        <v>2020</v>
      </c>
      <c r="I56" t="s">
        <v>1783</v>
      </c>
      <c r="J56" t="s">
        <v>1084</v>
      </c>
      <c r="K56" s="277">
        <f t="shared" ref="K56:Q56" si="81">K55*$AT$52</f>
        <v>109.20219660457678</v>
      </c>
      <c r="L56" s="73">
        <f t="shared" si="81"/>
        <v>110.19519741342025</v>
      </c>
      <c r="M56" s="73">
        <f t="shared" si="81"/>
        <v>111.14590533219133</v>
      </c>
      <c r="N56" s="73">
        <f t="shared" si="81"/>
        <v>111.32017975110088</v>
      </c>
      <c r="O56" s="73">
        <f t="shared" si="81"/>
        <v>111.54186518131419</v>
      </c>
      <c r="P56" s="73">
        <f t="shared" si="81"/>
        <v>111.76355061152749</v>
      </c>
      <c r="Q56" s="73">
        <f t="shared" si="81"/>
        <v>111.98523604174078</v>
      </c>
      <c r="R56" s="72" t="s">
        <v>4060</v>
      </c>
      <c r="S56" s="717">
        <v>3</v>
      </c>
      <c r="T56" s="377">
        <v>1</v>
      </c>
      <c r="U56" s="377">
        <v>1</v>
      </c>
      <c r="V56" s="377">
        <v>3</v>
      </c>
      <c r="W56" s="377">
        <v>2</v>
      </c>
      <c r="AA56" s="28" t="s">
        <v>3033</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2">($AR56-$AO56)/3 + AO56</f>
        <v>227490.16251123772</v>
      </c>
      <c r="AQ56" s="406">
        <f t="shared" si="82"/>
        <v>227741.9808469869</v>
      </c>
      <c r="AR56" s="406" cm="1">
        <f t="array" ref="AR56">AVERAGE(_xlfn._xlws.FILTER('Autonomie 2023 MHDV'!$AL:$AL,('Autonomie 2023 MHDV'!$A:$A=$AK56)*('Autonomie 2023 MHDV'!$B:$B=AR$32)*('Autonomie 2023 MHDV'!$D:$D="Transit")))</f>
        <v>227993.79918273608</v>
      </c>
      <c r="AS56" s="114">
        <f t="shared" ref="AS56:AS61" si="83">(AR56-AL56)/AL56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4">(AY56-AW56)/AW56</f>
        <v>-3.636363636363641E-2</v>
      </c>
    </row>
    <row r="57" spans="1:52" ht="15.75" thickBot="1" x14ac:dyDescent="0.3">
      <c r="A57" t="s">
        <v>1097</v>
      </c>
      <c r="B57" t="s">
        <v>95</v>
      </c>
      <c r="C57" t="s">
        <v>4050</v>
      </c>
      <c r="D57">
        <v>2023</v>
      </c>
      <c r="E57">
        <v>2023</v>
      </c>
      <c r="F57" t="s">
        <v>1781</v>
      </c>
      <c r="G57">
        <f t="shared" si="78"/>
        <v>1.1463657166123775</v>
      </c>
      <c r="H57">
        <v>2020</v>
      </c>
      <c r="I57" t="s">
        <v>1783</v>
      </c>
      <c r="J57" t="s">
        <v>1084</v>
      </c>
      <c r="K57" s="277">
        <f t="shared" ref="K57:Q61" si="85">AL50*1000/1000000</f>
        <v>94.628229958787614</v>
      </c>
      <c r="L57" s="73">
        <f t="shared" si="85"/>
        <v>94.876217980517538</v>
      </c>
      <c r="M57" s="73">
        <f t="shared" si="85"/>
        <v>93.865365995309901</v>
      </c>
      <c r="N57" s="73">
        <f t="shared" si="85"/>
        <v>93.519589652027648</v>
      </c>
      <c r="O57" s="73">
        <f t="shared" si="85"/>
        <v>93.376274358059121</v>
      </c>
      <c r="P57" s="73">
        <f t="shared" si="85"/>
        <v>93.232959064090579</v>
      </c>
      <c r="Q57" s="73">
        <f t="shared" si="85"/>
        <v>93.089643770122052</v>
      </c>
      <c r="R57" s="72" t="s">
        <v>4059</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86">($AH57-$AE57)/3 + AF57</f>
        <v>28120.15828014605</v>
      </c>
      <c r="AH57" s="195" cm="1">
        <f t="array" ref="AH57">AVERAGE(_xlfn._xlws.FILTER('Autonomie 2023 LDV'!$AH:$AH, ('Autonomie 2023 LDV'!$A:$A=$AA57)*('Autonomie 2023 LDV'!$B:$B=AH$3)*('Autonomie 2023 LDV'!$D:$D="Pickup")))</f>
        <v>28082.81912630767</v>
      </c>
      <c r="AI57" s="85">
        <f t="shared" ref="AI57:AI67" si="87">(AH57-AB57)/AB57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2"/>
        <v>239572.47504242664</v>
      </c>
      <c r="AQ57" s="406">
        <f t="shared" si="82"/>
        <v>239594.63811294781</v>
      </c>
      <c r="AR57" s="406" cm="1">
        <f t="array" ref="AR57">AVERAGE(_xlfn._xlws.FILTER('Autonomie 2023 MHDV'!$AL:$AL,('Autonomie 2023 MHDV'!$A:$A=$AK57)*('Autonomie 2023 MHDV'!$B:$B=AR$32)*('Autonomie 2023 MHDV'!$D:$D="Transit")))</f>
        <v>239616.80118346898</v>
      </c>
      <c r="AS57" s="114">
        <f t="shared" si="83"/>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4"/>
        <v>-0.65563725490196079</v>
      </c>
    </row>
    <row r="58" spans="1:52" x14ac:dyDescent="0.25">
      <c r="A58" t="s">
        <v>1098</v>
      </c>
      <c r="B58" t="s">
        <v>95</v>
      </c>
      <c r="C58" t="s">
        <v>4050</v>
      </c>
      <c r="D58">
        <v>2023</v>
      </c>
      <c r="E58">
        <v>2023</v>
      </c>
      <c r="F58" t="s">
        <v>1781</v>
      </c>
      <c r="G58">
        <f t="shared" si="78"/>
        <v>1.1463657166123775</v>
      </c>
      <c r="H58">
        <v>2020</v>
      </c>
      <c r="I58" t="s">
        <v>1783</v>
      </c>
      <c r="J58" t="s">
        <v>1084</v>
      </c>
      <c r="K58" s="277">
        <f t="shared" si="85"/>
        <v>154.39437500394214</v>
      </c>
      <c r="L58" s="73">
        <f t="shared" si="85"/>
        <v>138.22874956517427</v>
      </c>
      <c r="M58" s="73">
        <f t="shared" si="85"/>
        <v>121.43109643403811</v>
      </c>
      <c r="N58" s="73">
        <f t="shared" si="85"/>
        <v>111.53123747793849</v>
      </c>
      <c r="O58" s="73">
        <f t="shared" si="85"/>
        <v>107.24536366192812</v>
      </c>
      <c r="P58" s="73">
        <f t="shared" si="85"/>
        <v>102.95948984591774</v>
      </c>
      <c r="Q58" s="73">
        <f t="shared" si="85"/>
        <v>98.673616029907393</v>
      </c>
      <c r="R58" s="72" t="s">
        <v>4059</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88">($AH58-$AE58)/3 + AE58</f>
        <v>30941.086309400995</v>
      </c>
      <c r="AG58" s="195">
        <f t="shared" ref="AG58:AG67" si="89">($AH58-$AE58)/3 + AF58</f>
        <v>30903.686964886096</v>
      </c>
      <c r="AH58" s="195" cm="1">
        <f t="array" ref="AH58">AVERAGE(_xlfn._xlws.FILTER('Autonomie 2023 LDV'!$AH:$AH, ('Autonomie 2023 LDV'!$A:$A=$AA58)*('Autonomie 2023 LDV'!$B:$B=AH$3)*('Autonomie 2023 LDV'!$D:$D="Pickup")))</f>
        <v>30866.2876203712</v>
      </c>
      <c r="AI58" s="85">
        <f t="shared" si="87"/>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2"/>
        <v>280244.38430211722</v>
      </c>
      <c r="AQ58" s="406">
        <f t="shared" si="82"/>
        <v>270138.40626636805</v>
      </c>
      <c r="AR58" s="406" cm="1">
        <f t="array" ref="AR58">AVERAGE(_xlfn._xlws.FILTER('Autonomie 2023 MHDV'!$AL:$AL,('Autonomie 2023 MHDV'!$A:$A=$AK58)*('Autonomie 2023 MHDV'!$B:$B=AR$32)*('Autonomie 2023 MHDV'!$D:$D="Transit")))</f>
        <v>260032.42823061883</v>
      </c>
      <c r="AS58" s="114">
        <f t="shared" si="83"/>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4"/>
        <v>-0.53367875647668406</v>
      </c>
    </row>
    <row r="59" spans="1:52" ht="15.75" thickBot="1" x14ac:dyDescent="0.3">
      <c r="A59" t="s">
        <v>1099</v>
      </c>
      <c r="B59" t="s">
        <v>95</v>
      </c>
      <c r="C59" t="s">
        <v>4050</v>
      </c>
      <c r="D59">
        <v>2023</v>
      </c>
      <c r="E59">
        <v>2023</v>
      </c>
      <c r="F59" t="s">
        <v>1781</v>
      </c>
      <c r="G59">
        <f t="shared" si="78"/>
        <v>1.1463657166123775</v>
      </c>
      <c r="H59">
        <v>2020</v>
      </c>
      <c r="I59" t="s">
        <v>1783</v>
      </c>
      <c r="J59" t="s">
        <v>1084</v>
      </c>
      <c r="K59" s="277">
        <f t="shared" si="85"/>
        <v>151.95607391662494</v>
      </c>
      <c r="L59" s="73">
        <f t="shared" si="85"/>
        <v>134.53907451554616</v>
      </c>
      <c r="M59" s="73">
        <f t="shared" si="85"/>
        <v>113.70445256099917</v>
      </c>
      <c r="N59" s="73">
        <f t="shared" si="85"/>
        <v>102.83149698923827</v>
      </c>
      <c r="O59" s="73">
        <f t="shared" si="85"/>
        <v>97.859872191903136</v>
      </c>
      <c r="P59" s="73">
        <f t="shared" si="85"/>
        <v>92.888247394567969</v>
      </c>
      <c r="Q59" s="73">
        <f t="shared" si="85"/>
        <v>87.916622597232816</v>
      </c>
      <c r="R59" s="72" t="s">
        <v>4059</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88"/>
        <v>32186.515087103082</v>
      </c>
      <c r="AG59" s="195">
        <f t="shared" si="89"/>
        <v>32149.094923736855</v>
      </c>
      <c r="AH59" s="195" cm="1">
        <f t="array" ref="AH59">AVERAGE(_xlfn._xlws.FILTER('Autonomie 2023 LDV'!$AH:$AH, ('Autonomie 2023 LDV'!$A:$A=$AA59)*('Autonomie 2023 LDV'!$B:$B=AH$3)*('Autonomie 2023 LDV'!$D:$D="Pickup")))</f>
        <v>32111.674760370628</v>
      </c>
      <c r="AI59" s="85">
        <f t="shared" si="87"/>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2"/>
        <v>288291.10738892504</v>
      </c>
      <c r="AQ59" s="406">
        <f t="shared" si="82"/>
        <v>275474.35655529314</v>
      </c>
      <c r="AR59" s="406" cm="1">
        <f t="array" ref="AR59">AVERAGE(_xlfn._xlws.FILTER('Autonomie 2023 MHDV'!$AL:$AL,('Autonomie 2023 MHDV'!$A:$A=$AK59)*('Autonomie 2023 MHDV'!$B:$B=AR$32)*('Autonomie 2023 MHDV'!$D:$D="Transit")))</f>
        <v>262657.60572166118</v>
      </c>
      <c r="AS59" s="114">
        <f t="shared" si="83"/>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4"/>
        <v>-6.6666666666666638E-2</v>
      </c>
    </row>
    <row r="60" spans="1:52" x14ac:dyDescent="0.25">
      <c r="A60" t="s">
        <v>1100</v>
      </c>
      <c r="B60" t="s">
        <v>95</v>
      </c>
      <c r="C60" t="s">
        <v>4050</v>
      </c>
      <c r="D60">
        <v>2023</v>
      </c>
      <c r="E60">
        <v>2023</v>
      </c>
      <c r="F60" t="s">
        <v>1781</v>
      </c>
      <c r="G60">
        <f t="shared" si="78"/>
        <v>1.1463657166123775</v>
      </c>
      <c r="H60">
        <v>2020</v>
      </c>
      <c r="I60" t="s">
        <v>1783</v>
      </c>
      <c r="J60" t="s">
        <v>1084</v>
      </c>
      <c r="K60" s="277">
        <f t="shared" si="85"/>
        <v>123.96907456268241</v>
      </c>
      <c r="L60" s="73">
        <f t="shared" si="85"/>
        <v>110.62866645142684</v>
      </c>
      <c r="M60" s="73">
        <f t="shared" si="85"/>
        <v>104.37067479635722</v>
      </c>
      <c r="N60" s="73">
        <f t="shared" si="85"/>
        <v>98.540914780278868</v>
      </c>
      <c r="O60" s="73">
        <f t="shared" si="85"/>
        <v>96.533102864742617</v>
      </c>
      <c r="P60" s="73">
        <f t="shared" si="85"/>
        <v>94.525290949206394</v>
      </c>
      <c r="Q60" s="73">
        <f t="shared" si="85"/>
        <v>92.517479033670156</v>
      </c>
      <c r="R60" s="72" t="s">
        <v>4059</v>
      </c>
      <c r="S60" s="717">
        <v>3</v>
      </c>
      <c r="T60" s="377">
        <v>1</v>
      </c>
      <c r="U60" s="377">
        <v>1</v>
      </c>
      <c r="V60" s="377">
        <v>3</v>
      </c>
      <c r="W60" s="377">
        <v>1</v>
      </c>
      <c r="AA60" s="17" t="s">
        <v>3001</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88"/>
        <v>28604.543016641273</v>
      </c>
      <c r="AG60" s="195">
        <f t="shared" si="89"/>
        <v>28158.271591284531</v>
      </c>
      <c r="AH60" s="195" cm="1">
        <f t="array" ref="AH60">AVERAGE(_xlfn._xlws.FILTER('Autonomie 2023 LDV'!$AH:$AH, ('Autonomie 2023 LDV'!$A:$A=$AA60)*('Autonomie 2023 LDV'!$B:$B=AH$3)*('Autonomie 2023 LDV'!$D:$D="Pickup")))</f>
        <v>27712.000165927784</v>
      </c>
      <c r="AI60" s="85">
        <f t="shared" si="87"/>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2"/>
        <v>250159.16243534195</v>
      </c>
      <c r="AQ60" s="406">
        <f t="shared" si="82"/>
        <v>246671.15368159601</v>
      </c>
      <c r="AR60" s="406" cm="1">
        <f t="array" ref="AR60">AVERAGE(_xlfn._xlws.FILTER('Autonomie 2023 MHDV'!$AL:$AL,('Autonomie 2023 MHDV'!$A:$A=$AK60)*('Autonomie 2023 MHDV'!$B:$B=AR$32)*('Autonomie 2023 MHDV'!$D:$D="Transit")))</f>
        <v>243183.14492785008</v>
      </c>
      <c r="AS60" s="114">
        <f t="shared" si="83"/>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4"/>
        <v>-0.33852140077821008</v>
      </c>
    </row>
    <row r="61" spans="1:52" x14ac:dyDescent="0.25">
      <c r="A61" t="s">
        <v>1101</v>
      </c>
      <c r="B61" t="s">
        <v>95</v>
      </c>
      <c r="C61" t="s">
        <v>4050</v>
      </c>
      <c r="D61">
        <v>2023</v>
      </c>
      <c r="E61">
        <v>2023</v>
      </c>
      <c r="F61" t="s">
        <v>1781</v>
      </c>
      <c r="G61">
        <f t="shared" si="78"/>
        <v>1.1463657166123775</v>
      </c>
      <c r="H61">
        <v>2020</v>
      </c>
      <c r="I61" t="s">
        <v>1783</v>
      </c>
      <c r="J61" t="s">
        <v>1084</v>
      </c>
      <c r="K61" s="277">
        <f t="shared" si="85"/>
        <v>116.95953124093977</v>
      </c>
      <c r="L61" s="73">
        <f t="shared" si="85"/>
        <v>105.9292137580082</v>
      </c>
      <c r="M61" s="73">
        <f t="shared" si="85"/>
        <v>98.361396775203985</v>
      </c>
      <c r="N61" s="73">
        <f t="shared" si="85"/>
        <v>93.161242451175525</v>
      </c>
      <c r="O61" s="73">
        <f t="shared" si="85"/>
        <v>90.625175058952095</v>
      </c>
      <c r="P61" s="73">
        <f t="shared" si="85"/>
        <v>88.08910766672868</v>
      </c>
      <c r="Q61" s="73">
        <f t="shared" si="85"/>
        <v>85.553040274505264</v>
      </c>
      <c r="R61" s="72" t="s">
        <v>4059</v>
      </c>
      <c r="S61" s="717">
        <v>3</v>
      </c>
      <c r="T61" s="377">
        <v>1</v>
      </c>
      <c r="U61" s="377">
        <v>1</v>
      </c>
      <c r="V61" s="377">
        <v>3</v>
      </c>
      <c r="W61" s="377">
        <v>1</v>
      </c>
      <c r="AA61" s="17" t="s">
        <v>4423</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88"/>
        <v>32654.003282278925</v>
      </c>
      <c r="AG61" s="195">
        <f t="shared" si="89"/>
        <v>32239.366780114848</v>
      </c>
      <c r="AH61" s="195" cm="1">
        <f t="array" ref="AH61">AVERAGE(_xlfn._xlws.FILTER('Autonomie 2023 LDV'!$AH:$AH, ('Autonomie 2023 LDV'!$A:$A=$AA61)*('Autonomie 2023 LDV'!$B:$B=AH$3)*('Autonomie 2023 LDV'!$D:$D="Pickup")))</f>
        <v>31824.730277950766</v>
      </c>
      <c r="AI61" s="85">
        <f t="shared" si="87"/>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2"/>
        <v>234524.26254837128</v>
      </c>
      <c r="AQ61" s="406">
        <f t="shared" si="82"/>
        <v>231769.1636094462</v>
      </c>
      <c r="AR61" s="406" cm="1">
        <f t="array" ref="AR61">AVERAGE(_xlfn._xlws.FILTER('Autonomie 2023 MHDV'!$AL:$AL,('Autonomie 2023 MHDV'!$A:$A=$AK61)*('Autonomie 2023 MHDV'!$B:$B=AR$32)*('Autonomie 2023 MHDV'!$D:$D="Transit")))</f>
        <v>229014.0646705211</v>
      </c>
      <c r="AS61" s="114">
        <f t="shared" si="83"/>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4"/>
        <v>-0.18269230769230774</v>
      </c>
    </row>
    <row r="62" spans="1:52" x14ac:dyDescent="0.25">
      <c r="A62" t="s">
        <v>1102</v>
      </c>
      <c r="B62" t="s">
        <v>95</v>
      </c>
      <c r="C62" t="s">
        <v>4050</v>
      </c>
      <c r="D62">
        <v>2023</v>
      </c>
      <c r="E62">
        <v>2023</v>
      </c>
      <c r="F62" t="s">
        <v>1781</v>
      </c>
      <c r="G62">
        <f t="shared" si="78"/>
        <v>1.1463657166123775</v>
      </c>
      <c r="H62">
        <v>2020</v>
      </c>
      <c r="I62" t="s">
        <v>1783</v>
      </c>
      <c r="J62" t="s">
        <v>1084</v>
      </c>
      <c r="K62" s="277">
        <f t="shared" ref="K62:Q62" si="90">K63*$AT$57</f>
        <v>207.76802793465291</v>
      </c>
      <c r="L62" s="73">
        <f t="shared" si="90"/>
        <v>208.63785496762711</v>
      </c>
      <c r="M62" s="73">
        <f t="shared" si="90"/>
        <v>209.51614747050857</v>
      </c>
      <c r="N62" s="73">
        <f t="shared" si="90"/>
        <v>209.7584715466048</v>
      </c>
      <c r="O62" s="73">
        <f t="shared" si="90"/>
        <v>209.99091924114251</v>
      </c>
      <c r="P62" s="73">
        <f t="shared" si="90"/>
        <v>210.22336693568022</v>
      </c>
      <c r="Q62" s="73">
        <f t="shared" si="90"/>
        <v>210.45581463021793</v>
      </c>
      <c r="R62" s="72" t="s">
        <v>4061</v>
      </c>
      <c r="S62" s="717">
        <v>3</v>
      </c>
      <c r="T62" s="377">
        <v>1</v>
      </c>
      <c r="U62" s="377">
        <v>1</v>
      </c>
      <c r="V62" s="377">
        <v>3</v>
      </c>
      <c r="W62" s="377">
        <v>2</v>
      </c>
      <c r="AA62" s="17" t="s">
        <v>4424</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88"/>
        <v>33957.545936515031</v>
      </c>
      <c r="AG62" s="195">
        <f t="shared" si="89"/>
        <v>33431.2955924466</v>
      </c>
      <c r="AH62" s="195" cm="1">
        <f t="array" ref="AH62">AVERAGE(_xlfn._xlws.FILTER('Autonomie 2023 LDV'!$AH:$AH, ('Autonomie 2023 LDV'!$A:$A=$AA62)*('Autonomie 2023 LDV'!$B:$B=AH$3)*('Autonomie 2023 LDV'!$D:$D="Pickup")))</f>
        <v>32905.045248378177</v>
      </c>
      <c r="AI62" s="85">
        <f t="shared" si="87"/>
        <v>-0.11502770391779607</v>
      </c>
      <c r="AK62" s="407" t="s">
        <v>4054</v>
      </c>
      <c r="AT62" s="63"/>
    </row>
    <row r="63" spans="1:52" x14ac:dyDescent="0.25">
      <c r="A63" t="s">
        <v>1103</v>
      </c>
      <c r="B63" t="s">
        <v>95</v>
      </c>
      <c r="C63" t="s">
        <v>4050</v>
      </c>
      <c r="D63">
        <v>2023</v>
      </c>
      <c r="E63">
        <v>2023</v>
      </c>
      <c r="F63" t="s">
        <v>1781</v>
      </c>
      <c r="G63">
        <f t="shared" si="78"/>
        <v>1.1463657166123775</v>
      </c>
      <c r="H63">
        <v>2020</v>
      </c>
      <c r="I63" t="s">
        <v>1783</v>
      </c>
      <c r="J63" t="s">
        <v>1084</v>
      </c>
      <c r="K63" s="277">
        <f t="shared" ref="K63:Q63" si="91">AL56*1000/1000000</f>
        <v>225.08203026254063</v>
      </c>
      <c r="L63" s="73">
        <f t="shared" si="91"/>
        <v>226.02434288159603</v>
      </c>
      <c r="M63" s="73">
        <f t="shared" si="91"/>
        <v>226.97582642638429</v>
      </c>
      <c r="N63" s="73">
        <f t="shared" si="91"/>
        <v>227.23834417548852</v>
      </c>
      <c r="O63" s="73">
        <f t="shared" si="91"/>
        <v>227.49016251123771</v>
      </c>
      <c r="P63" s="73">
        <f t="shared" si="91"/>
        <v>227.74198084698688</v>
      </c>
      <c r="Q63" s="73">
        <f t="shared" si="91"/>
        <v>227.99379918273607</v>
      </c>
      <c r="R63" s="72" t="s">
        <v>4062</v>
      </c>
      <c r="S63" s="717">
        <v>3</v>
      </c>
      <c r="T63" s="377">
        <v>1</v>
      </c>
      <c r="U63" s="377">
        <v>1</v>
      </c>
      <c r="V63" s="377">
        <v>3</v>
      </c>
      <c r="W63" s="377">
        <v>1</v>
      </c>
      <c r="AA63" s="17" t="s">
        <v>2997</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88"/>
        <v>24565.206074683054</v>
      </c>
      <c r="AG63" s="195">
        <f t="shared" si="89"/>
        <v>23880.637855008496</v>
      </c>
      <c r="AH63" s="195" cm="1">
        <f t="array" ref="AH63">AVERAGE(_xlfn._xlws.FILTER('Autonomie 2023 LDV'!$AH:$AH, ('Autonomie 2023 LDV'!$A:$A=$AA63)*('Autonomie 2023 LDV'!$B:$B=AH$3)*('Autonomie 2023 LDV'!$D:$D="Pickup")))</f>
        <v>23196.069635333934</v>
      </c>
      <c r="AI63" s="85">
        <f t="shared" si="87"/>
        <v>-0.24446090738061568</v>
      </c>
      <c r="AK63" s="64"/>
      <c r="AT63" s="63"/>
    </row>
    <row r="64" spans="1:52" ht="15.75" x14ac:dyDescent="0.25">
      <c r="A64" t="s">
        <v>1104</v>
      </c>
      <c r="B64" t="s">
        <v>95</v>
      </c>
      <c r="C64" t="s">
        <v>4050</v>
      </c>
      <c r="D64">
        <v>2023</v>
      </c>
      <c r="E64">
        <v>2023</v>
      </c>
      <c r="F64" t="s">
        <v>1781</v>
      </c>
      <c r="G64">
        <f t="shared" si="78"/>
        <v>1.1463657166123775</v>
      </c>
      <c r="H64">
        <v>2020</v>
      </c>
      <c r="I64" t="s">
        <v>1783</v>
      </c>
      <c r="J64" t="s">
        <v>1084</v>
      </c>
      <c r="K64" s="277">
        <f t="shared" ref="K64:Q64" si="92">K63*$AT$59</f>
        <v>243.08859268354388</v>
      </c>
      <c r="L64" s="73">
        <f t="shared" si="92"/>
        <v>244.10629031212372</v>
      </c>
      <c r="M64" s="73">
        <f t="shared" si="92"/>
        <v>245.13389254049505</v>
      </c>
      <c r="N64" s="73">
        <f t="shared" si="92"/>
        <v>245.41741170952761</v>
      </c>
      <c r="O64" s="73">
        <f t="shared" si="92"/>
        <v>245.68937551213673</v>
      </c>
      <c r="P64" s="73">
        <f t="shared" si="92"/>
        <v>245.96133931474586</v>
      </c>
      <c r="Q64" s="73">
        <f t="shared" si="92"/>
        <v>246.23330311735498</v>
      </c>
      <c r="R64" s="72" t="s">
        <v>4063</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88"/>
        <v>26328.012528810657</v>
      </c>
      <c r="AG64" s="195">
        <f t="shared" si="89"/>
        <v>25473.745204070725</v>
      </c>
      <c r="AH64" s="195" cm="1">
        <f t="array" ref="AH64">AVERAGE(_xlfn._xlws.FILTER('Autonomie 2023 LDV'!$AH:$AH, ('Autonomie 2023 LDV'!$A:$A=$AA64)*('Autonomie 2023 LDV'!$B:$B=AH$3)*('Autonomie 2023 LDV'!$D:$D="Pickup")))</f>
        <v>24619.477879330796</v>
      </c>
      <c r="AI64" s="85">
        <f t="shared" si="87"/>
        <v>-0.28310827435779345</v>
      </c>
      <c r="AK64" s="313" t="s">
        <v>1780</v>
      </c>
      <c r="AT64" s="63"/>
    </row>
    <row r="65" spans="1:46" ht="15.75" thickBot="1" x14ac:dyDescent="0.3">
      <c r="A65" t="s">
        <v>1105</v>
      </c>
      <c r="B65" t="s">
        <v>95</v>
      </c>
      <c r="C65" t="s">
        <v>4050</v>
      </c>
      <c r="D65">
        <v>2023</v>
      </c>
      <c r="E65">
        <v>2023</v>
      </c>
      <c r="F65" t="s">
        <v>1781</v>
      </c>
      <c r="G65">
        <f t="shared" si="78"/>
        <v>1.1463657166123775</v>
      </c>
      <c r="H65">
        <v>2020</v>
      </c>
      <c r="I65" t="s">
        <v>1783</v>
      </c>
      <c r="J65" t="s">
        <v>1084</v>
      </c>
      <c r="K65" s="277">
        <f t="shared" ref="K65:Q69" si="93">AL57*1000/1000000</f>
        <v>244.33180337589567</v>
      </c>
      <c r="L65" s="73">
        <f t="shared" si="93"/>
        <v>244.36275525024422</v>
      </c>
      <c r="M65" s="73">
        <f t="shared" si="93"/>
        <v>241.87628801091199</v>
      </c>
      <c r="N65" s="73">
        <f t="shared" si="93"/>
        <v>239.55031197190547</v>
      </c>
      <c r="O65" s="73">
        <f t="shared" si="93"/>
        <v>239.57247504242665</v>
      </c>
      <c r="P65" s="73">
        <f t="shared" si="93"/>
        <v>239.59463811294782</v>
      </c>
      <c r="Q65" s="73">
        <f t="shared" si="93"/>
        <v>239.61680118346897</v>
      </c>
      <c r="R65" s="72" t="s">
        <v>4062</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88"/>
        <v>30282.991707980491</v>
      </c>
      <c r="AG65" s="195">
        <f t="shared" si="89"/>
        <v>29079.916417211887</v>
      </c>
      <c r="AH65" s="195" cm="1">
        <f t="array" ref="AH65">AVERAGE(_xlfn._xlws.FILTER('Autonomie 2023 LDV'!$AH:$AH, ('Autonomie 2023 LDV'!$A:$A=$AA65)*('Autonomie 2023 LDV'!$B:$B=AH$3)*('Autonomie 2023 LDV'!$D:$D="Pickup")))</f>
        <v>27876.841126443287</v>
      </c>
      <c r="AI65" s="85">
        <f t="shared" si="87"/>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4050</v>
      </c>
      <c r="D66">
        <v>2023</v>
      </c>
      <c r="E66">
        <v>2023</v>
      </c>
      <c r="F66" t="s">
        <v>1781</v>
      </c>
      <c r="G66">
        <f t="shared" si="78"/>
        <v>1.1463657166123775</v>
      </c>
      <c r="H66">
        <v>2020</v>
      </c>
      <c r="I66" t="s">
        <v>1783</v>
      </c>
      <c r="J66" t="s">
        <v>1084</v>
      </c>
      <c r="K66" s="277">
        <f t="shared" si="93"/>
        <v>385.0929033530129</v>
      </c>
      <c r="L66" s="73">
        <f t="shared" si="93"/>
        <v>348.87118580521161</v>
      </c>
      <c r="M66" s="73">
        <f t="shared" si="93"/>
        <v>311.7518639013029</v>
      </c>
      <c r="N66" s="73">
        <f t="shared" si="93"/>
        <v>290.35036233786639</v>
      </c>
      <c r="O66" s="73">
        <f t="shared" si="93"/>
        <v>280.24438430211723</v>
      </c>
      <c r="P66" s="73">
        <f t="shared" si="93"/>
        <v>270.13840626636801</v>
      </c>
      <c r="Q66" s="73">
        <f t="shared" si="93"/>
        <v>260.03242823061885</v>
      </c>
      <c r="R66" s="72" t="s">
        <v>4062</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88"/>
        <v>35872.168994031221</v>
      </c>
      <c r="AG66" s="195">
        <f t="shared" si="89"/>
        <v>34026.606924506661</v>
      </c>
      <c r="AH66" s="195" cm="1">
        <f t="array" ref="AH66">AVERAGE(_xlfn._xlws.FILTER('Autonomie 2023 LDV'!$AH:$AH, ('Autonomie 2023 LDV'!$A:$A=$AA66)*('Autonomie 2023 LDV'!$B:$B=AH$3)*('Autonomie 2023 LDV'!$D:$D="Pickup")))</f>
        <v>32181.044854982112</v>
      </c>
      <c r="AI66" s="85">
        <f t="shared" si="87"/>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4050</v>
      </c>
      <c r="D67">
        <v>2023</v>
      </c>
      <c r="E67">
        <v>2023</v>
      </c>
      <c r="F67" t="s">
        <v>1781</v>
      </c>
      <c r="G67">
        <f t="shared" si="78"/>
        <v>1.1463657166123775</v>
      </c>
      <c r="H67">
        <v>2020</v>
      </c>
      <c r="I67" t="s">
        <v>1783</v>
      </c>
      <c r="J67" t="s">
        <v>1084</v>
      </c>
      <c r="K67" s="277">
        <f t="shared" si="93"/>
        <v>414.69894435024418</v>
      </c>
      <c r="L67" s="73">
        <f t="shared" si="93"/>
        <v>369.77631101335487</v>
      </c>
      <c r="M67" s="73">
        <f t="shared" si="93"/>
        <v>321.91095688192178</v>
      </c>
      <c r="N67" s="73">
        <f t="shared" si="93"/>
        <v>301.10785822255696</v>
      </c>
      <c r="O67" s="73">
        <f t="shared" si="93"/>
        <v>288.29110738892501</v>
      </c>
      <c r="P67" s="73">
        <f t="shared" si="93"/>
        <v>275.47435655529313</v>
      </c>
      <c r="Q67" s="73">
        <f t="shared" si="93"/>
        <v>262.65760572166118</v>
      </c>
      <c r="R67" s="72" t="s">
        <v>4062</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88"/>
        <v>36229.270725944545</v>
      </c>
      <c r="AG67" s="195">
        <f t="shared" si="89"/>
        <v>34470.089010000607</v>
      </c>
      <c r="AH67" s="195" cm="1">
        <f t="array" ref="AH67">AVERAGE(_xlfn._xlws.FILTER('Autonomie 2023 LDV'!$AH:$AH, ('Autonomie 2023 LDV'!$A:$A=$AA67)*('Autonomie 2023 LDV'!$B:$B=AH$3)*('Autonomie 2023 LDV'!$D:$D="Pickup")))</f>
        <v>32710.907294056666</v>
      </c>
      <c r="AI67" s="85">
        <f t="shared" si="87"/>
        <v>-0.38698242034022035</v>
      </c>
      <c r="AK67" s="392" t="s">
        <v>1779</v>
      </c>
      <c r="AL67" s="68"/>
      <c r="AM67" s="68"/>
      <c r="AN67" s="432"/>
      <c r="AO67" s="443"/>
      <c r="AP67" s="68"/>
      <c r="AQ67" s="68"/>
      <c r="AR67" s="68"/>
      <c r="AS67" s="68"/>
      <c r="AT67" s="296"/>
    </row>
    <row r="68" spans="1:46" x14ac:dyDescent="0.25">
      <c r="A68" t="s">
        <v>1108</v>
      </c>
      <c r="B68" t="s">
        <v>95</v>
      </c>
      <c r="C68" t="s">
        <v>4050</v>
      </c>
      <c r="D68">
        <v>2023</v>
      </c>
      <c r="E68">
        <v>2023</v>
      </c>
      <c r="F68" t="s">
        <v>1781</v>
      </c>
      <c r="G68">
        <f t="shared" si="78"/>
        <v>1.1463657166123775</v>
      </c>
      <c r="H68">
        <v>2020</v>
      </c>
      <c r="I68" t="s">
        <v>1783</v>
      </c>
      <c r="J68" t="s">
        <v>1084</v>
      </c>
      <c r="K68" s="277">
        <f t="shared" si="93"/>
        <v>289.99613533143315</v>
      </c>
      <c r="L68" s="73">
        <f t="shared" si="93"/>
        <v>270.7394840237784</v>
      </c>
      <c r="M68" s="73">
        <f t="shared" si="93"/>
        <v>261.38284704478821</v>
      </c>
      <c r="N68" s="73">
        <f t="shared" si="93"/>
        <v>253.64717118908786</v>
      </c>
      <c r="O68" s="73">
        <f t="shared" si="93"/>
        <v>250.15916243534195</v>
      </c>
      <c r="P68" s="73">
        <f t="shared" si="93"/>
        <v>246.67115368159602</v>
      </c>
      <c r="Q68" s="73">
        <f t="shared" si="93"/>
        <v>243.18314492785007</v>
      </c>
      <c r="R68" s="72" t="s">
        <v>4062</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4050</v>
      </c>
      <c r="D69">
        <v>2023</v>
      </c>
      <c r="E69">
        <v>2023</v>
      </c>
      <c r="F69" t="s">
        <v>1781</v>
      </c>
      <c r="G69">
        <f t="shared" si="78"/>
        <v>1.1463657166123775</v>
      </c>
      <c r="H69">
        <v>2020</v>
      </c>
      <c r="I69" t="s">
        <v>1783</v>
      </c>
      <c r="J69" t="s">
        <v>1084</v>
      </c>
      <c r="K69" s="277">
        <f t="shared" si="93"/>
        <v>266.93011074747545</v>
      </c>
      <c r="L69" s="73">
        <f t="shared" si="93"/>
        <v>253.40070256001621</v>
      </c>
      <c r="M69" s="73">
        <f t="shared" si="93"/>
        <v>244.08992020969049</v>
      </c>
      <c r="N69" s="73">
        <f t="shared" si="93"/>
        <v>237.27936148729634</v>
      </c>
      <c r="O69" s="73">
        <f t="shared" si="93"/>
        <v>234.5242625483713</v>
      </c>
      <c r="P69" s="73">
        <f t="shared" si="93"/>
        <v>231.7691636094462</v>
      </c>
      <c r="Q69" s="73">
        <f t="shared" si="93"/>
        <v>229.01406467052112</v>
      </c>
      <c r="R69" s="72" t="s">
        <v>4062</v>
      </c>
      <c r="S69" s="717">
        <v>3</v>
      </c>
      <c r="T69" s="377">
        <v>1</v>
      </c>
      <c r="U69" s="377">
        <v>1</v>
      </c>
      <c r="V69" s="377">
        <v>3</v>
      </c>
      <c r="W69" s="377">
        <v>1</v>
      </c>
      <c r="AA69" s="260" t="s">
        <v>4052</v>
      </c>
      <c r="AB69" s="260"/>
      <c r="AC69" s="260"/>
      <c r="AD69" s="260"/>
      <c r="AE69" s="260"/>
      <c r="AF69" s="260"/>
      <c r="AG69" s="260"/>
      <c r="AH69" s="260"/>
      <c r="AI69" s="159"/>
      <c r="AK69" s="159" t="s">
        <v>2923</v>
      </c>
      <c r="AL69" s="159"/>
      <c r="AM69" s="159"/>
      <c r="AN69" s="159"/>
      <c r="AO69" s="159"/>
      <c r="AP69" s="159"/>
      <c r="AQ69" s="159"/>
      <c r="AR69" s="159"/>
    </row>
    <row r="70" spans="1:46" ht="15.75" thickBot="1" x14ac:dyDescent="0.3">
      <c r="A70" t="s">
        <v>1110</v>
      </c>
      <c r="B70" t="s">
        <v>95</v>
      </c>
      <c r="C70" t="s">
        <v>4050</v>
      </c>
      <c r="D70">
        <v>2023</v>
      </c>
      <c r="E70">
        <v>2023</v>
      </c>
      <c r="F70" t="s">
        <v>1781</v>
      </c>
      <c r="G70">
        <f t="shared" si="78"/>
        <v>1.1463657166123775</v>
      </c>
      <c r="H70">
        <v>2020</v>
      </c>
      <c r="I70" t="s">
        <v>1783</v>
      </c>
      <c r="J70" t="s">
        <v>1084</v>
      </c>
      <c r="K70" s="277">
        <f t="shared" ref="K70:Q70" si="94">K62*$AL$66</f>
        <v>207.76802793465291</v>
      </c>
      <c r="L70" s="73">
        <f t="shared" si="94"/>
        <v>208.63785496762711</v>
      </c>
      <c r="M70" s="73">
        <f t="shared" si="94"/>
        <v>209.51614747050857</v>
      </c>
      <c r="N70" s="73">
        <f t="shared" si="94"/>
        <v>209.7584715466048</v>
      </c>
      <c r="O70" s="73">
        <f t="shared" si="94"/>
        <v>209.99091924114251</v>
      </c>
      <c r="P70" s="73">
        <f t="shared" si="94"/>
        <v>210.22336693568022</v>
      </c>
      <c r="Q70" s="73">
        <f t="shared" si="94"/>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3049</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4050</v>
      </c>
      <c r="D71">
        <v>2023</v>
      </c>
      <c r="E71">
        <v>2023</v>
      </c>
      <c r="F71" t="s">
        <v>1781</v>
      </c>
      <c r="G71">
        <f t="shared" si="78"/>
        <v>1.1463657166123775</v>
      </c>
      <c r="H71">
        <v>2020</v>
      </c>
      <c r="I71" t="s">
        <v>1783</v>
      </c>
      <c r="J71" t="s">
        <v>1084</v>
      </c>
      <c r="K71" s="277">
        <f t="shared" ref="K71:Q71" si="95">K63*$AM$66</f>
        <v>225.08203026254063</v>
      </c>
      <c r="L71" s="73">
        <f t="shared" si="95"/>
        <v>226.02434288159603</v>
      </c>
      <c r="M71" s="73">
        <f t="shared" si="95"/>
        <v>226.97582642638429</v>
      </c>
      <c r="N71" s="73">
        <f t="shared" si="95"/>
        <v>227.23834417548852</v>
      </c>
      <c r="O71" s="73">
        <f t="shared" si="95"/>
        <v>227.49016251123771</v>
      </c>
      <c r="P71" s="73">
        <f t="shared" si="95"/>
        <v>227.74198084698688</v>
      </c>
      <c r="Q71" s="73">
        <f t="shared" si="95"/>
        <v>227.99379918273607</v>
      </c>
      <c r="R71" s="72" t="s">
        <v>1789</v>
      </c>
      <c r="S71" s="717">
        <v>3</v>
      </c>
      <c r="T71" s="377">
        <v>1</v>
      </c>
      <c r="U71" s="377">
        <v>1</v>
      </c>
      <c r="V71" s="377">
        <v>3</v>
      </c>
      <c r="W71" s="377">
        <v>2</v>
      </c>
      <c r="AA71" s="28" t="s">
        <v>3992</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4050</v>
      </c>
      <c r="D72">
        <v>2023</v>
      </c>
      <c r="E72">
        <v>2023</v>
      </c>
      <c r="F72" t="s">
        <v>1781</v>
      </c>
      <c r="G72">
        <f t="shared" si="78"/>
        <v>1.1463657166123775</v>
      </c>
      <c r="H72">
        <v>2020</v>
      </c>
      <c r="I72" t="s">
        <v>1783</v>
      </c>
      <c r="J72" t="s">
        <v>1084</v>
      </c>
      <c r="K72" s="277">
        <f t="shared" ref="K72:Q72" si="96">K65*$AN$66</f>
        <v>249.35953488624628</v>
      </c>
      <c r="L72" s="73">
        <f t="shared" si="96"/>
        <v>249.39112367200715</v>
      </c>
      <c r="M72" s="73">
        <f t="shared" si="96"/>
        <v>246.85349121588402</v>
      </c>
      <c r="N72" s="73">
        <f t="shared" si="96"/>
        <v>244.47965246370609</v>
      </c>
      <c r="O72" s="73">
        <f t="shared" si="96"/>
        <v>244.50227159425091</v>
      </c>
      <c r="P72" s="73">
        <f t="shared" si="96"/>
        <v>244.52489072479574</v>
      </c>
      <c r="Q72" s="73">
        <f t="shared" si="96"/>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97">($AH72-$AE72)/3 + AE72</f>
        <v>45613.891864006502</v>
      </c>
      <c r="AG72" s="195">
        <f t="shared" si="97"/>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98">(AH72-AB72)/AB72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4050</v>
      </c>
      <c r="D73">
        <v>2023</v>
      </c>
      <c r="E73">
        <v>2023</v>
      </c>
      <c r="F73" t="s">
        <v>1781</v>
      </c>
      <c r="G73">
        <f t="shared" si="78"/>
        <v>1.1463657166123775</v>
      </c>
      <c r="H73">
        <v>2020</v>
      </c>
      <c r="I73" t="s">
        <v>1783</v>
      </c>
      <c r="J73" t="s">
        <v>1084</v>
      </c>
      <c r="K73" s="277">
        <f t="shared" ref="K73:Q73" si="99">K67*$AR$66</f>
        <v>505.48479822617179</v>
      </c>
      <c r="L73" s="73">
        <f t="shared" si="99"/>
        <v>450.72770622618003</v>
      </c>
      <c r="M73" s="73">
        <f t="shared" si="99"/>
        <v>392.38367327219919</v>
      </c>
      <c r="N73" s="73">
        <f t="shared" si="99"/>
        <v>367.02636221180035</v>
      </c>
      <c r="O73" s="73">
        <f t="shared" si="99"/>
        <v>351.40376949166591</v>
      </c>
      <c r="P73" s="73">
        <f t="shared" si="99"/>
        <v>335.78117677153153</v>
      </c>
      <c r="Q73" s="73">
        <f t="shared" si="99"/>
        <v>320.1585840513971</v>
      </c>
      <c r="R73" s="72" t="s">
        <v>1789</v>
      </c>
      <c r="S73" s="717">
        <v>3</v>
      </c>
      <c r="T73" s="377">
        <v>1</v>
      </c>
      <c r="U73" s="377">
        <v>1</v>
      </c>
      <c r="V73" s="377">
        <v>3</v>
      </c>
      <c r="W73" s="377">
        <v>2</v>
      </c>
      <c r="Z73">
        <v>2</v>
      </c>
      <c r="AA73" s="17" t="s">
        <v>3979</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97"/>
        <v>44872.95748916937</v>
      </c>
      <c r="AG73" s="195">
        <f t="shared" si="97"/>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98"/>
        <v>3.9665143792748214E-2</v>
      </c>
    </row>
    <row r="74" spans="1:46" x14ac:dyDescent="0.25">
      <c r="A74" t="s">
        <v>1114</v>
      </c>
      <c r="B74" t="s">
        <v>95</v>
      </c>
      <c r="C74" t="s">
        <v>4050</v>
      </c>
      <c r="D74">
        <v>2023</v>
      </c>
      <c r="E74">
        <v>2023</v>
      </c>
      <c r="F74" t="s">
        <v>1781</v>
      </c>
      <c r="G74">
        <f t="shared" si="78"/>
        <v>1.1463657166123775</v>
      </c>
      <c r="H74">
        <v>2020</v>
      </c>
      <c r="I74" t="s">
        <v>1783</v>
      </c>
      <c r="J74" t="s">
        <v>1084</v>
      </c>
      <c r="K74" s="277">
        <f t="shared" ref="K74:Q74" si="100">K68*$AP$66</f>
        <v>307.8982997734804</v>
      </c>
      <c r="L74" s="73">
        <f t="shared" si="100"/>
        <v>287.45288869866943</v>
      </c>
      <c r="M74" s="73">
        <f t="shared" si="100"/>
        <v>277.51864383662593</v>
      </c>
      <c r="N74" s="73">
        <f t="shared" si="100"/>
        <v>269.3054259575436</v>
      </c>
      <c r="O74" s="73">
        <f t="shared" si="100"/>
        <v>265.60209396780533</v>
      </c>
      <c r="P74" s="73">
        <f t="shared" si="100"/>
        <v>261.89876197806694</v>
      </c>
      <c r="Q74" s="73">
        <f t="shared" si="100"/>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97"/>
        <v>49531.023517670998</v>
      </c>
      <c r="AG74" s="195">
        <f t="shared" si="97"/>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98"/>
        <v>-2.2254924156667428E-2</v>
      </c>
    </row>
    <row r="75" spans="1:46" x14ac:dyDescent="0.25">
      <c r="A75" t="s">
        <v>1118</v>
      </c>
      <c r="B75" t="s">
        <v>95</v>
      </c>
      <c r="C75" t="s">
        <v>1644</v>
      </c>
      <c r="D75">
        <v>2022</v>
      </c>
      <c r="E75">
        <v>2018</v>
      </c>
      <c r="F75" t="s">
        <v>1781</v>
      </c>
      <c r="G75" s="259">
        <f t="shared" ref="G75:G97" si="101">USD2018_to_CAD2020</f>
        <v>1.3371624000000004</v>
      </c>
      <c r="H75">
        <v>2020</v>
      </c>
      <c r="I75" t="s">
        <v>1783</v>
      </c>
      <c r="J75" t="s">
        <v>2917</v>
      </c>
      <c r="K75" s="277">
        <f t="shared" ref="K75:Q76" si="102">$BC$5</f>
        <v>676.77562220892833</v>
      </c>
      <c r="L75" s="73">
        <f t="shared" si="102"/>
        <v>676.77562220892833</v>
      </c>
      <c r="M75" s="73">
        <f t="shared" si="102"/>
        <v>676.77562220892833</v>
      </c>
      <c r="N75" s="73">
        <f t="shared" si="102"/>
        <v>676.77562220892833</v>
      </c>
      <c r="O75" s="73">
        <f t="shared" si="102"/>
        <v>676.77562220892833</v>
      </c>
      <c r="P75" s="73">
        <f t="shared" si="102"/>
        <v>676.77562220892833</v>
      </c>
      <c r="Q75" s="73">
        <f t="shared" si="102"/>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97"/>
        <v>57184.543163680763</v>
      </c>
      <c r="AG75" s="195">
        <f t="shared" si="97"/>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98"/>
        <v>-0.422396957549594</v>
      </c>
    </row>
    <row r="76" spans="1:46" x14ac:dyDescent="0.25">
      <c r="A76" t="s">
        <v>1119</v>
      </c>
      <c r="B76" t="s">
        <v>95</v>
      </c>
      <c r="C76" t="s">
        <v>1644</v>
      </c>
      <c r="D76">
        <v>2022</v>
      </c>
      <c r="E76">
        <v>2018</v>
      </c>
      <c r="F76" t="s">
        <v>1781</v>
      </c>
      <c r="G76" s="259">
        <f t="shared" si="101"/>
        <v>1.3371624000000004</v>
      </c>
      <c r="H76">
        <v>2020</v>
      </c>
      <c r="I76" t="s">
        <v>1783</v>
      </c>
      <c r="J76" t="s">
        <v>2917</v>
      </c>
      <c r="K76" s="277">
        <f t="shared" si="102"/>
        <v>676.77562220892833</v>
      </c>
      <c r="L76" s="73">
        <f t="shared" si="102"/>
        <v>676.77562220892833</v>
      </c>
      <c r="M76" s="73">
        <f t="shared" si="102"/>
        <v>676.77562220892833</v>
      </c>
      <c r="N76" s="73">
        <f t="shared" si="102"/>
        <v>676.77562220892833</v>
      </c>
      <c r="O76" s="73">
        <f t="shared" si="102"/>
        <v>676.77562220892833</v>
      </c>
      <c r="P76" s="73">
        <f t="shared" si="102"/>
        <v>676.77562220892833</v>
      </c>
      <c r="Q76" s="73">
        <f t="shared" si="102"/>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97"/>
        <v>46051.421445846892</v>
      </c>
      <c r="AG76" s="195">
        <f t="shared" si="97"/>
        <v>42874.459923208458</v>
      </c>
      <c r="AH76" s="195" cm="1">
        <f t="array" ref="AH76">AVERAGE(_xlfn._xlws.FILTER('Autonomie 2023 MHDV'!$AL:$AL,('Autonomie 2023 MHDV'!$A:$A=$AA76)*('Autonomie 2023 MHDV'!$B:$B=AH$70)*('Autonomie 2023 MHDV'!$F:$F=$Z76)*('Autonomie 2023 MHDV'!$D:$D&lt;&gt;"School")))</f>
        <v>39697.498400570024</v>
      </c>
      <c r="AI76" s="85">
        <f t="shared" si="98"/>
        <v>-0.52247059310230703</v>
      </c>
    </row>
    <row r="77" spans="1:46" x14ac:dyDescent="0.25">
      <c r="A77" t="s">
        <v>1120</v>
      </c>
      <c r="B77" t="s">
        <v>95</v>
      </c>
      <c r="C77" t="s">
        <v>1644</v>
      </c>
      <c r="D77">
        <v>2022</v>
      </c>
      <c r="E77">
        <v>2018</v>
      </c>
      <c r="F77" t="s">
        <v>1781</v>
      </c>
      <c r="G77" s="259">
        <f t="shared" si="101"/>
        <v>1.3371624000000004</v>
      </c>
      <c r="H77">
        <v>2020</v>
      </c>
      <c r="I77" t="s">
        <v>1783</v>
      </c>
      <c r="J77" t="s">
        <v>2918</v>
      </c>
      <c r="K77" s="339">
        <f t="shared" ref="K77:Q78" si="103">$BG$6</f>
        <v>2722.8335661531196</v>
      </c>
      <c r="L77" s="340">
        <f t="shared" si="103"/>
        <v>2722.8335661531196</v>
      </c>
      <c r="M77" s="340">
        <f t="shared" si="103"/>
        <v>2722.8335661531196</v>
      </c>
      <c r="N77" s="340">
        <f t="shared" si="103"/>
        <v>2722.8335661531196</v>
      </c>
      <c r="O77" s="340">
        <f t="shared" si="103"/>
        <v>2722.8335661531196</v>
      </c>
      <c r="P77" s="340">
        <f t="shared" si="103"/>
        <v>2722.8335661531196</v>
      </c>
      <c r="Q77" s="340">
        <f t="shared" si="103"/>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97"/>
        <v>46370.111115065134</v>
      </c>
      <c r="AG77" s="195">
        <f t="shared" si="97"/>
        <v>44984.919207491846</v>
      </c>
      <c r="AH77" s="195" cm="1">
        <f t="array" ref="AH77">AVERAGE(_xlfn._xlws.FILTER('Autonomie 2023 MHDV'!$AL:$AL,('Autonomie 2023 MHDV'!$A:$A=$AA77)*('Autonomie 2023 MHDV'!$B:$B=AH$70)*('Autonomie 2023 MHDV'!$F:$F=$Z77)*('Autonomie 2023 MHDV'!$D:$D&lt;&gt;"School")))</f>
        <v>43599.727299918552</v>
      </c>
      <c r="AI77" s="85">
        <f t="shared" si="98"/>
        <v>-0.32992124596980216</v>
      </c>
    </row>
    <row r="78" spans="1:46" x14ac:dyDescent="0.25">
      <c r="A78" t="s">
        <v>1121</v>
      </c>
      <c r="B78" t="s">
        <v>95</v>
      </c>
      <c r="C78" t="s">
        <v>1644</v>
      </c>
      <c r="D78">
        <v>2022</v>
      </c>
      <c r="E78">
        <v>2018</v>
      </c>
      <c r="F78" t="s">
        <v>1781</v>
      </c>
      <c r="G78" s="259">
        <f t="shared" si="101"/>
        <v>1.3371624000000004</v>
      </c>
      <c r="H78">
        <v>2020</v>
      </c>
      <c r="I78" t="s">
        <v>1783</v>
      </c>
      <c r="J78" t="s">
        <v>2918</v>
      </c>
      <c r="K78" s="339">
        <f t="shared" si="103"/>
        <v>2722.8335661531196</v>
      </c>
      <c r="L78" s="340">
        <f t="shared" si="103"/>
        <v>2722.8335661531196</v>
      </c>
      <c r="M78" s="340">
        <f t="shared" si="103"/>
        <v>2722.8335661531196</v>
      </c>
      <c r="N78" s="340">
        <f t="shared" si="103"/>
        <v>2722.8335661531196</v>
      </c>
      <c r="O78" s="340">
        <f t="shared" si="103"/>
        <v>2722.8335661531196</v>
      </c>
      <c r="P78" s="340">
        <f t="shared" si="103"/>
        <v>2722.8335661531196</v>
      </c>
      <c r="Q78" s="340">
        <f t="shared" si="103"/>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97"/>
        <v>42011.628660504874</v>
      </c>
      <c r="AG78" s="195">
        <f t="shared" si="97"/>
        <v>40569.118467100961</v>
      </c>
      <c r="AH78" s="195" cm="1">
        <f t="array" ref="AH78">AVERAGE(_xlfn._xlws.FILTER('Autonomie 2023 MHDV'!$AL:$AL,('Autonomie 2023 MHDV'!$A:$A=$AA78)*('Autonomie 2023 MHDV'!$B:$B=AH$70)*('Autonomie 2023 MHDV'!$F:$F=$Z78)*('Autonomie 2023 MHDV'!$D:$D&lt;&gt;"School")))</f>
        <v>39126.608273697057</v>
      </c>
      <c r="AI78" s="85">
        <f t="shared" si="98"/>
        <v>-0.35189791694358463</v>
      </c>
    </row>
    <row r="79" spans="1:46" x14ac:dyDescent="0.25">
      <c r="A79" t="s">
        <v>1122</v>
      </c>
      <c r="B79" t="s">
        <v>95</v>
      </c>
      <c r="C79" t="s">
        <v>1644</v>
      </c>
      <c r="D79">
        <v>2022</v>
      </c>
      <c r="E79">
        <v>2018</v>
      </c>
      <c r="F79" t="s">
        <v>1781</v>
      </c>
      <c r="G79" s="259">
        <f t="shared" si="101"/>
        <v>1.3371624000000004</v>
      </c>
      <c r="H79">
        <v>2020</v>
      </c>
      <c r="I79" t="s">
        <v>1783</v>
      </c>
      <c r="J79" t="s">
        <v>2917</v>
      </c>
      <c r="K79" s="277">
        <f t="shared" ref="K79:Q79" si="104">$BC$16</f>
        <v>540.22328099966455</v>
      </c>
      <c r="L79" s="73">
        <f t="shared" si="104"/>
        <v>540.22328099966455</v>
      </c>
      <c r="M79" s="73">
        <f t="shared" si="104"/>
        <v>540.22328099966455</v>
      </c>
      <c r="N79" s="73">
        <f t="shared" si="104"/>
        <v>540.22328099966455</v>
      </c>
      <c r="O79" s="73">
        <f t="shared" si="104"/>
        <v>540.22328099966455</v>
      </c>
      <c r="P79" s="73">
        <f t="shared" si="104"/>
        <v>540.22328099966455</v>
      </c>
      <c r="Q79" s="73">
        <f t="shared" si="104"/>
        <v>540.22328099966455</v>
      </c>
      <c r="R79" s="72" t="s">
        <v>1795</v>
      </c>
      <c r="S79" s="717">
        <v>3</v>
      </c>
      <c r="T79" s="377">
        <v>1</v>
      </c>
      <c r="U79" s="377">
        <v>1</v>
      </c>
      <c r="V79" s="377">
        <v>3</v>
      </c>
      <c r="W79" s="377">
        <v>1</v>
      </c>
      <c r="Z79">
        <v>3</v>
      </c>
      <c r="AA79" s="28" t="s">
        <v>3993</v>
      </c>
      <c r="AB79" s="195"/>
      <c r="AC79" s="195"/>
      <c r="AD79" s="195"/>
      <c r="AE79" s="195"/>
      <c r="AF79" s="195"/>
      <c r="AG79" s="195"/>
      <c r="AH79" s="195"/>
      <c r="AI79" s="85"/>
    </row>
    <row r="80" spans="1:46" x14ac:dyDescent="0.25">
      <c r="A80" t="s">
        <v>1123</v>
      </c>
      <c r="B80" t="s">
        <v>95</v>
      </c>
      <c r="C80" t="s">
        <v>1644</v>
      </c>
      <c r="D80">
        <v>2022</v>
      </c>
      <c r="E80">
        <v>2018</v>
      </c>
      <c r="F80" t="s">
        <v>1781</v>
      </c>
      <c r="G80" s="259">
        <f t="shared" si="101"/>
        <v>1.3371624000000004</v>
      </c>
      <c r="H80">
        <v>2020</v>
      </c>
      <c r="I80" t="s">
        <v>1783</v>
      </c>
      <c r="J80" t="s">
        <v>2917</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05">($AH80-$AE80)/3 + AE80</f>
        <v>56181.855283550474</v>
      </c>
      <c r="AG80" s="195">
        <f t="shared" si="105"/>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98"/>
        <v>6.2619336029729744E-3</v>
      </c>
    </row>
    <row r="81" spans="1:35" x14ac:dyDescent="0.25">
      <c r="A81" t="s">
        <v>1124</v>
      </c>
      <c r="B81" t="s">
        <v>95</v>
      </c>
      <c r="C81" t="s">
        <v>1644</v>
      </c>
      <c r="D81">
        <v>2022</v>
      </c>
      <c r="E81">
        <v>2018</v>
      </c>
      <c r="F81" t="s">
        <v>1781</v>
      </c>
      <c r="G81" s="259">
        <f t="shared" si="101"/>
        <v>1.3371624000000004</v>
      </c>
      <c r="H81">
        <v>2020</v>
      </c>
      <c r="I81" t="s">
        <v>1783</v>
      </c>
      <c r="J81" t="s">
        <v>2918</v>
      </c>
      <c r="K81" s="277">
        <f t="shared" ref="K81:Q81" si="106">$BC$19</f>
        <v>27.214521014577411</v>
      </c>
      <c r="L81" s="73">
        <f t="shared" si="106"/>
        <v>27.214521014577411</v>
      </c>
      <c r="M81" s="73">
        <f t="shared" si="106"/>
        <v>27.214521014577411</v>
      </c>
      <c r="N81" s="73">
        <f t="shared" si="106"/>
        <v>27.214521014577411</v>
      </c>
      <c r="O81" s="73">
        <f t="shared" si="106"/>
        <v>27.214521014577411</v>
      </c>
      <c r="P81" s="73">
        <f t="shared" si="106"/>
        <v>27.214521014577411</v>
      </c>
      <c r="Q81" s="73">
        <f t="shared" si="106"/>
        <v>27.214521014577411</v>
      </c>
      <c r="R81" s="72" t="s">
        <v>1795</v>
      </c>
      <c r="S81" s="717">
        <v>3</v>
      </c>
      <c r="T81" s="377">
        <v>1</v>
      </c>
      <c r="U81" s="377">
        <v>1</v>
      </c>
      <c r="V81" s="377">
        <v>3</v>
      </c>
      <c r="W81" s="377">
        <v>1</v>
      </c>
      <c r="Z81">
        <v>3</v>
      </c>
      <c r="AA81" s="17" t="s">
        <v>3979</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05"/>
        <v>60414.874379125933</v>
      </c>
      <c r="AG81" s="195">
        <f t="shared" si="105"/>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98"/>
        <v>3.4714934722104629E-2</v>
      </c>
    </row>
    <row r="82" spans="1:35" x14ac:dyDescent="0.25">
      <c r="A82" t="s">
        <v>1125</v>
      </c>
      <c r="B82" t="s">
        <v>95</v>
      </c>
      <c r="C82" t="s">
        <v>1644</v>
      </c>
      <c r="D82">
        <v>2022</v>
      </c>
      <c r="E82">
        <v>2018</v>
      </c>
      <c r="F82" t="s">
        <v>1781</v>
      </c>
      <c r="G82" s="259">
        <f t="shared" si="101"/>
        <v>1.3371624000000004</v>
      </c>
      <c r="H82">
        <v>2020</v>
      </c>
      <c r="I82" t="s">
        <v>1783</v>
      </c>
      <c r="J82" t="s">
        <v>2918</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05"/>
        <v>53668.384762893576</v>
      </c>
      <c r="AG82" s="195">
        <f t="shared" si="105"/>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98"/>
        <v>-3.772041946700741E-2</v>
      </c>
    </row>
    <row r="83" spans="1:35" x14ac:dyDescent="0.25">
      <c r="A83" t="s">
        <v>1130</v>
      </c>
      <c r="B83" t="s">
        <v>95</v>
      </c>
      <c r="C83" t="s">
        <v>1644</v>
      </c>
      <c r="D83">
        <v>2022</v>
      </c>
      <c r="E83">
        <v>2018</v>
      </c>
      <c r="F83" t="s">
        <v>1781</v>
      </c>
      <c r="G83" s="259">
        <f t="shared" si="101"/>
        <v>1.3371624000000004</v>
      </c>
      <c r="H83">
        <v>2020</v>
      </c>
      <c r="I83" t="s">
        <v>1783</v>
      </c>
      <c r="J83" t="s">
        <v>2918</v>
      </c>
      <c r="K83" s="277"/>
      <c r="L83" s="73">
        <f t="shared" ref="L83:Q83" si="107">$BD$21</f>
        <v>44.994442098748571</v>
      </c>
      <c r="M83" s="73">
        <f t="shared" si="107"/>
        <v>44.994442098748571</v>
      </c>
      <c r="N83" s="73">
        <f t="shared" si="107"/>
        <v>44.994442098748571</v>
      </c>
      <c r="O83" s="73">
        <f t="shared" si="107"/>
        <v>44.994442098748571</v>
      </c>
      <c r="P83" s="73">
        <f t="shared" si="107"/>
        <v>44.994442098748571</v>
      </c>
      <c r="Q83" s="73">
        <f t="shared" si="107"/>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05"/>
        <v>61224.208575054261</v>
      </c>
      <c r="AG83" s="195">
        <f t="shared" si="105"/>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98"/>
        <v>-0.44222446821379935</v>
      </c>
    </row>
    <row r="84" spans="1:35" x14ac:dyDescent="0.25">
      <c r="A84" t="s">
        <v>1293</v>
      </c>
      <c r="B84" t="s">
        <v>95</v>
      </c>
      <c r="C84" t="s">
        <v>1644</v>
      </c>
      <c r="D84">
        <v>2022</v>
      </c>
      <c r="E84">
        <v>2018</v>
      </c>
      <c r="F84" t="s">
        <v>1781</v>
      </c>
      <c r="G84" s="259">
        <f t="shared" si="101"/>
        <v>1.3371624000000004</v>
      </c>
      <c r="H84">
        <v>2020</v>
      </c>
      <c r="I84" t="s">
        <v>1783</v>
      </c>
      <c r="J84" t="s">
        <v>2918</v>
      </c>
      <c r="K84" s="277">
        <f t="shared" ref="K84:Q84" si="108">$BC$24</f>
        <v>21.111052987350504</v>
      </c>
      <c r="L84" s="73">
        <f t="shared" si="108"/>
        <v>21.111052987350504</v>
      </c>
      <c r="M84" s="73">
        <f t="shared" si="108"/>
        <v>21.111052987350504</v>
      </c>
      <c r="N84" s="73">
        <f t="shared" si="108"/>
        <v>21.111052987350504</v>
      </c>
      <c r="O84" s="73">
        <f t="shared" si="108"/>
        <v>21.111052987350504</v>
      </c>
      <c r="P84" s="73">
        <f t="shared" si="108"/>
        <v>21.111052987350504</v>
      </c>
      <c r="Q84" s="73">
        <f t="shared" si="108"/>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05"/>
        <v>50595.48777252985</v>
      </c>
      <c r="AG84" s="195">
        <f t="shared" si="105"/>
        <v>46828.402653773068</v>
      </c>
      <c r="AH84" s="195" cm="1">
        <f t="array" ref="AH84">AVERAGE(_xlfn._xlws.FILTER('Autonomie 2023 MHDV'!$AL:$AL,('Autonomie 2023 MHDV'!$A:$A=$AA84)*('Autonomie 2023 MHDV'!$B:$B=AH$70)*('Autonomie 2023 MHDV'!$F:$F=$Z84)*('Autonomie 2023 MHDV'!$D:$D&lt;&gt;"School")))</f>
        <v>43061.317535016278</v>
      </c>
      <c r="AI84" s="85">
        <f t="shared" si="98"/>
        <v>-0.53508616315096802</v>
      </c>
    </row>
    <row r="85" spans="1:35" x14ac:dyDescent="0.25">
      <c r="A85" t="s">
        <v>1294</v>
      </c>
      <c r="B85" t="s">
        <v>95</v>
      </c>
      <c r="C85" t="s">
        <v>1644</v>
      </c>
      <c r="D85">
        <v>2022</v>
      </c>
      <c r="E85">
        <v>2018</v>
      </c>
      <c r="F85" t="s">
        <v>1781</v>
      </c>
      <c r="G85" s="259">
        <f t="shared" si="101"/>
        <v>1.3371624000000004</v>
      </c>
      <c r="H85">
        <v>2020</v>
      </c>
      <c r="I85" t="s">
        <v>1783</v>
      </c>
      <c r="J85" t="s">
        <v>2918</v>
      </c>
      <c r="K85" s="277">
        <f t="shared" ref="K85:Q85" si="109">$BC$23</f>
        <v>27.509018269206326</v>
      </c>
      <c r="L85" s="73">
        <f t="shared" si="109"/>
        <v>27.509018269206326</v>
      </c>
      <c r="M85" s="73">
        <f t="shared" si="109"/>
        <v>27.509018269206326</v>
      </c>
      <c r="N85" s="73">
        <f t="shared" si="109"/>
        <v>27.509018269206326</v>
      </c>
      <c r="O85" s="73">
        <f t="shared" si="109"/>
        <v>27.509018269206326</v>
      </c>
      <c r="P85" s="73">
        <f t="shared" si="109"/>
        <v>27.509018269206326</v>
      </c>
      <c r="Q85" s="73">
        <f t="shared" si="109"/>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05"/>
        <v>54408.809641856664</v>
      </c>
      <c r="AG85" s="195">
        <f t="shared" si="105"/>
        <v>52601.755150570018</v>
      </c>
      <c r="AH85" s="195" cm="1">
        <f t="array" ref="AH85">AVERAGE(_xlfn._xlws.FILTER('Autonomie 2023 MHDV'!$AL:$AL,('Autonomie 2023 MHDV'!$A:$A=$AA85)*('Autonomie 2023 MHDV'!$B:$B=AH$70)*('Autonomie 2023 MHDV'!$F:$F=$Z85)*('Autonomie 2023 MHDV'!$D:$D&lt;&gt;"School")))</f>
        <v>50794.700659283371</v>
      </c>
      <c r="AI85" s="85">
        <f t="shared" si="98"/>
        <v>-0.36524126733997087</v>
      </c>
    </row>
    <row r="86" spans="1:35" x14ac:dyDescent="0.25">
      <c r="A86" t="s">
        <v>1295</v>
      </c>
      <c r="B86" t="s">
        <v>95</v>
      </c>
      <c r="C86" t="s">
        <v>1644</v>
      </c>
      <c r="D86">
        <v>2022</v>
      </c>
      <c r="E86">
        <v>2018</v>
      </c>
      <c r="F86" t="s">
        <v>1781</v>
      </c>
      <c r="G86" s="259">
        <f t="shared" si="101"/>
        <v>1.3371624000000004</v>
      </c>
      <c r="H86">
        <v>2020</v>
      </c>
      <c r="I86" t="s">
        <v>1783</v>
      </c>
      <c r="J86" t="s">
        <v>2918</v>
      </c>
      <c r="K86" s="277"/>
      <c r="L86" s="73">
        <f t="shared" ref="L86:Q86" si="110">$BD$25</f>
        <v>30.456413083764147</v>
      </c>
      <c r="M86" s="73">
        <f t="shared" si="110"/>
        <v>30.456413083764147</v>
      </c>
      <c r="N86" s="73">
        <f t="shared" si="110"/>
        <v>30.456413083764147</v>
      </c>
      <c r="O86" s="73">
        <f t="shared" si="110"/>
        <v>30.456413083764147</v>
      </c>
      <c r="P86" s="73">
        <f t="shared" si="110"/>
        <v>30.456413083764147</v>
      </c>
      <c r="Q86" s="73">
        <f t="shared" si="110"/>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05"/>
        <v>46718.224171009759</v>
      </c>
      <c r="AG86" s="195">
        <f t="shared" si="105"/>
        <v>44676.928951628652</v>
      </c>
      <c r="AH86" s="195" cm="1">
        <f t="array" ref="AH86">AVERAGE(_xlfn._xlws.FILTER('Autonomie 2023 MHDV'!$AL:$AL,('Autonomie 2023 MHDV'!$A:$A=$AA86)*('Autonomie 2023 MHDV'!$B:$B=AH$70)*('Autonomie 2023 MHDV'!$F:$F=$Z86)*('Autonomie 2023 MHDV'!$D:$D&lt;&gt;"School")))</f>
        <v>42635.633732247545</v>
      </c>
      <c r="AI86" s="85">
        <f t="shared" si="98"/>
        <v>-0.39280019591303633</v>
      </c>
    </row>
    <row r="87" spans="1:35" x14ac:dyDescent="0.25">
      <c r="A87" t="s">
        <v>4768</v>
      </c>
      <c r="B87" t="s">
        <v>95</v>
      </c>
      <c r="C87" t="s">
        <v>1644</v>
      </c>
      <c r="D87">
        <v>2022</v>
      </c>
      <c r="E87">
        <v>2018</v>
      </c>
      <c r="F87" t="s">
        <v>1781</v>
      </c>
      <c r="G87" s="259">
        <f t="shared" si="101"/>
        <v>1.3371624000000004</v>
      </c>
      <c r="H87">
        <v>2020</v>
      </c>
      <c r="I87" t="s">
        <v>1783</v>
      </c>
      <c r="J87" t="s">
        <v>2916</v>
      </c>
      <c r="K87" s="277">
        <f>AL71</f>
        <v>423.88048080000016</v>
      </c>
      <c r="L87" s="73">
        <f t="shared" ref="L87:Q87" si="111">AM71</f>
        <v>348.99938640000011</v>
      </c>
      <c r="M87" s="73">
        <f t="shared" si="111"/>
        <v>274.11829200000011</v>
      </c>
      <c r="N87" s="73">
        <f t="shared" si="111"/>
        <v>274.11829200000011</v>
      </c>
      <c r="O87" s="73">
        <f t="shared" si="111"/>
        <v>274.11829200000011</v>
      </c>
      <c r="P87" s="73">
        <f t="shared" si="111"/>
        <v>274.11829200000011</v>
      </c>
      <c r="Q87" s="73">
        <f t="shared" si="111"/>
        <v>274.11829200000011</v>
      </c>
      <c r="R87" s="72" t="s">
        <v>1855</v>
      </c>
      <c r="S87" s="717">
        <v>3</v>
      </c>
      <c r="T87" s="377">
        <v>1</v>
      </c>
      <c r="U87" s="377">
        <v>1</v>
      </c>
      <c r="V87" s="377">
        <v>3</v>
      </c>
      <c r="W87" s="377">
        <v>1</v>
      </c>
      <c r="Z87">
        <v>4</v>
      </c>
      <c r="AA87" s="28" t="s">
        <v>3994</v>
      </c>
      <c r="AB87" s="195"/>
      <c r="AC87" s="195"/>
      <c r="AD87" s="195"/>
      <c r="AE87" s="195"/>
      <c r="AF87" s="195"/>
      <c r="AG87" s="195"/>
      <c r="AH87" s="195"/>
      <c r="AI87" s="85"/>
    </row>
    <row r="88" spans="1:35" x14ac:dyDescent="0.25">
      <c r="A88" t="s">
        <v>4769</v>
      </c>
      <c r="B88" t="s">
        <v>95</v>
      </c>
      <c r="C88" t="s">
        <v>1644</v>
      </c>
      <c r="D88">
        <v>2022</v>
      </c>
      <c r="E88">
        <v>2018</v>
      </c>
      <c r="F88" t="s">
        <v>1781</v>
      </c>
      <c r="G88" s="259">
        <f t="shared" si="101"/>
        <v>1.3371624000000004</v>
      </c>
      <c r="H88">
        <v>2020</v>
      </c>
      <c r="I88" t="s">
        <v>1783</v>
      </c>
      <c r="J88" t="s">
        <v>2916</v>
      </c>
      <c r="K88" s="277">
        <f t="shared" ref="K88:Q89" si="112">AL71</f>
        <v>423.88048080000016</v>
      </c>
      <c r="L88" s="73">
        <f t="shared" si="112"/>
        <v>348.99938640000011</v>
      </c>
      <c r="M88" s="73">
        <f t="shared" si="112"/>
        <v>274.11829200000011</v>
      </c>
      <c r="N88" s="73">
        <f t="shared" si="112"/>
        <v>274.11829200000011</v>
      </c>
      <c r="O88" s="73">
        <f t="shared" si="112"/>
        <v>274.11829200000011</v>
      </c>
      <c r="P88" s="73">
        <f t="shared" si="112"/>
        <v>274.11829200000011</v>
      </c>
      <c r="Q88" s="73">
        <f t="shared" si="112"/>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3">($AH88-$AE88)/3 + AE88</f>
        <v>61591.809848181307</v>
      </c>
      <c r="AG88" s="195">
        <f t="shared" si="113"/>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4">(AH88-AB88)/AB88</f>
        <v>4.4132222132185041E-3</v>
      </c>
    </row>
    <row r="89" spans="1:35" x14ac:dyDescent="0.25">
      <c r="A89" t="s">
        <v>1825</v>
      </c>
      <c r="B89" t="s">
        <v>95</v>
      </c>
      <c r="C89" t="s">
        <v>1644</v>
      </c>
      <c r="D89">
        <v>2022</v>
      </c>
      <c r="E89">
        <v>2018</v>
      </c>
      <c r="F89" t="s">
        <v>1781</v>
      </c>
      <c r="G89" s="259">
        <f t="shared" si="101"/>
        <v>1.3371624000000004</v>
      </c>
      <c r="H89">
        <v>2020</v>
      </c>
      <c r="I89" t="s">
        <v>1783</v>
      </c>
      <c r="J89" t="s">
        <v>2916</v>
      </c>
      <c r="K89" s="277">
        <f t="shared" si="112"/>
        <v>133.87669948800004</v>
      </c>
      <c r="L89" s="73">
        <f t="shared" si="112"/>
        <v>133.87669948800004</v>
      </c>
      <c r="M89" s="73">
        <f t="shared" si="112"/>
        <v>133.87669948800004</v>
      </c>
      <c r="N89" s="73">
        <f t="shared" si="112"/>
        <v>133.87669948800004</v>
      </c>
      <c r="O89" s="73">
        <f t="shared" si="112"/>
        <v>133.87669948800004</v>
      </c>
      <c r="P89" s="73">
        <f t="shared" si="112"/>
        <v>133.87669948800004</v>
      </c>
      <c r="Q89" s="73">
        <f t="shared" si="112"/>
        <v>133.87669948800004</v>
      </c>
      <c r="R89" s="72" t="s">
        <v>1856</v>
      </c>
      <c r="S89" s="717">
        <v>3</v>
      </c>
      <c r="T89" s="377">
        <v>1</v>
      </c>
      <c r="U89" s="377">
        <v>1</v>
      </c>
      <c r="V89" s="377">
        <v>3</v>
      </c>
      <c r="W89" s="377">
        <v>1</v>
      </c>
      <c r="Z89">
        <v>4</v>
      </c>
      <c r="AA89" s="17" t="s">
        <v>3979</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3"/>
        <v>66215.61227915308</v>
      </c>
      <c r="AG89" s="195">
        <f t="shared" si="113"/>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4"/>
        <v>2.2484803191770947E-2</v>
      </c>
    </row>
    <row r="90" spans="1:35" x14ac:dyDescent="0.25">
      <c r="A90" t="s">
        <v>1821</v>
      </c>
      <c r="B90" t="s">
        <v>95</v>
      </c>
      <c r="C90" t="s">
        <v>1644</v>
      </c>
      <c r="D90">
        <v>2022</v>
      </c>
      <c r="E90">
        <v>2018</v>
      </c>
      <c r="F90" t="s">
        <v>1781</v>
      </c>
      <c r="G90" s="259">
        <f t="shared" si="101"/>
        <v>1.3371624000000004</v>
      </c>
      <c r="H90">
        <v>2020</v>
      </c>
      <c r="I90" t="s">
        <v>1783</v>
      </c>
      <c r="J90" t="s">
        <v>2916</v>
      </c>
      <c r="K90" s="277">
        <f t="shared" ref="K90:Q90" si="115">AL72</f>
        <v>133.87669948800004</v>
      </c>
      <c r="L90" s="73">
        <f t="shared" si="115"/>
        <v>133.87669948800004</v>
      </c>
      <c r="M90" s="73">
        <f t="shared" si="115"/>
        <v>133.87669948800004</v>
      </c>
      <c r="N90" s="73">
        <f t="shared" si="115"/>
        <v>133.87669948800004</v>
      </c>
      <c r="O90" s="73">
        <f t="shared" si="115"/>
        <v>133.87669948800004</v>
      </c>
      <c r="P90" s="73">
        <f t="shared" si="115"/>
        <v>133.87669948800004</v>
      </c>
      <c r="Q90" s="73">
        <f t="shared" si="115"/>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3"/>
        <v>67576.093636834936</v>
      </c>
      <c r="AG90" s="195">
        <f t="shared" si="113"/>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4"/>
        <v>-3.4634598406457502E-2</v>
      </c>
    </row>
    <row r="91" spans="1:35" x14ac:dyDescent="0.25">
      <c r="A91" t="s">
        <v>1870</v>
      </c>
      <c r="B91" t="s">
        <v>95</v>
      </c>
      <c r="C91" t="s">
        <v>1644</v>
      </c>
      <c r="D91">
        <v>2022</v>
      </c>
      <c r="E91">
        <v>2018</v>
      </c>
      <c r="F91" t="s">
        <v>1781</v>
      </c>
      <c r="G91" s="259">
        <f t="shared" si="101"/>
        <v>1.3371624000000004</v>
      </c>
      <c r="H91">
        <v>2020</v>
      </c>
      <c r="I91" t="s">
        <v>1783</v>
      </c>
      <c r="J91" t="s">
        <v>2916</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3"/>
        <v>77065.836412920704</v>
      </c>
      <c r="AG91" s="195">
        <f t="shared" si="113"/>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4"/>
        <v>-0.4342065293979489</v>
      </c>
    </row>
    <row r="92" spans="1:35" x14ac:dyDescent="0.25">
      <c r="A92" t="s">
        <v>1871</v>
      </c>
      <c r="B92" t="s">
        <v>95</v>
      </c>
      <c r="C92" t="s">
        <v>1644</v>
      </c>
      <c r="D92">
        <v>2022</v>
      </c>
      <c r="E92">
        <v>2018</v>
      </c>
      <c r="F92" t="s">
        <v>1781</v>
      </c>
      <c r="G92" s="259">
        <f t="shared" si="101"/>
        <v>1.3371624000000004</v>
      </c>
      <c r="H92">
        <v>2020</v>
      </c>
      <c r="I92" t="s">
        <v>1783</v>
      </c>
      <c r="J92" t="s">
        <v>2916</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3"/>
        <v>67357.137784961989</v>
      </c>
      <c r="AG92" s="195">
        <f t="shared" si="113"/>
        <v>62791.290509663399</v>
      </c>
      <c r="AH92" s="195" cm="1">
        <f t="array" ref="AH92">AVERAGE(_xlfn._xlws.FILTER('Autonomie 2023 MHDV'!$AL:$AL,('Autonomie 2023 MHDV'!$A:$A=$AA92)*('Autonomie 2023 MHDV'!$B:$B=AH$70)*('Autonomie 2023 MHDV'!$F:$F=$Z92)*('Autonomie 2023 MHDV'!$D:$D&lt;&gt;"School")))</f>
        <v>58225.4432343648</v>
      </c>
      <c r="AI92" s="85">
        <f t="shared" si="114"/>
        <v>-0.51478811346469833</v>
      </c>
    </row>
    <row r="93" spans="1:35" x14ac:dyDescent="0.25">
      <c r="A93" t="s">
        <v>1872</v>
      </c>
      <c r="B93" t="s">
        <v>95</v>
      </c>
      <c r="C93" t="s">
        <v>1644</v>
      </c>
      <c r="D93">
        <v>2022</v>
      </c>
      <c r="E93">
        <v>2018</v>
      </c>
      <c r="F93" t="s">
        <v>1781</v>
      </c>
      <c r="G93" s="259">
        <f t="shared" si="101"/>
        <v>1.3371624000000004</v>
      </c>
      <c r="H93">
        <v>2020</v>
      </c>
      <c r="I93" t="s">
        <v>1783</v>
      </c>
      <c r="J93" t="s">
        <v>2916</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3"/>
        <v>66918.843959310514</v>
      </c>
      <c r="AG93" s="195">
        <f t="shared" si="113"/>
        <v>64921.620133034725</v>
      </c>
      <c r="AH93" s="195" cm="1">
        <f t="array" ref="AH93">AVERAGE(_xlfn._xlws.FILTER('Autonomie 2023 MHDV'!$AL:$AL,('Autonomie 2023 MHDV'!$A:$A=$AA93)*('Autonomie 2023 MHDV'!$B:$B=AH$70)*('Autonomie 2023 MHDV'!$F:$F=$Z93)*('Autonomie 2023 MHDV'!$D:$D&lt;&gt;"School")))</f>
        <v>62924.396306758943</v>
      </c>
      <c r="AI93" s="85">
        <f t="shared" si="114"/>
        <v>-0.33210438365943079</v>
      </c>
    </row>
    <row r="94" spans="1:35" x14ac:dyDescent="0.25">
      <c r="A94" t="s">
        <v>2882</v>
      </c>
      <c r="B94" t="s">
        <v>95</v>
      </c>
      <c r="C94" t="s">
        <v>1644</v>
      </c>
      <c r="D94">
        <v>2022</v>
      </c>
      <c r="E94">
        <v>2018</v>
      </c>
      <c r="F94" t="s">
        <v>1781</v>
      </c>
      <c r="G94" s="259">
        <f t="shared" si="101"/>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3"/>
        <v>60023.326799918548</v>
      </c>
      <c r="AG94" s="195">
        <f t="shared" si="113"/>
        <v>57920.50995374591</v>
      </c>
      <c r="AH94" s="195" cm="1">
        <f t="array" ref="AH94">AVERAGE(_xlfn._xlws.FILTER('Autonomie 2023 MHDV'!$AL:$AL,('Autonomie 2023 MHDV'!$A:$A=$AA94)*('Autonomie 2023 MHDV'!$B:$B=AH$70)*('Autonomie 2023 MHDV'!$F:$F=$Z94)*('Autonomie 2023 MHDV'!$D:$D&lt;&gt;"School")))</f>
        <v>55817.693107573279</v>
      </c>
      <c r="AI94" s="85">
        <f t="shared" si="114"/>
        <v>-0.34377526999586688</v>
      </c>
    </row>
    <row r="95" spans="1:35" x14ac:dyDescent="0.25">
      <c r="A95" t="s">
        <v>1869</v>
      </c>
      <c r="B95" t="s">
        <v>95</v>
      </c>
      <c r="C95" t="s">
        <v>1644</v>
      </c>
      <c r="D95">
        <v>2022</v>
      </c>
      <c r="E95">
        <v>2018</v>
      </c>
      <c r="F95" t="s">
        <v>1781</v>
      </c>
      <c r="G95" s="259">
        <f t="shared" si="101"/>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3995</v>
      </c>
      <c r="AB95" s="195"/>
      <c r="AC95" s="195"/>
      <c r="AD95" s="195"/>
      <c r="AE95" s="195"/>
      <c r="AF95" s="195"/>
      <c r="AG95" s="195"/>
      <c r="AH95" s="195"/>
      <c r="AI95" s="85"/>
    </row>
    <row r="96" spans="1:35" x14ac:dyDescent="0.25">
      <c r="A96" t="s">
        <v>2886</v>
      </c>
      <c r="B96" t="s">
        <v>95</v>
      </c>
      <c r="C96" t="s">
        <v>1644</v>
      </c>
      <c r="D96">
        <v>2022</v>
      </c>
      <c r="E96">
        <v>2018</v>
      </c>
      <c r="F96" t="s">
        <v>1781</v>
      </c>
      <c r="G96" s="259">
        <f t="shared" si="101"/>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2931</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16">($AH96-$AE96)/3 + AE96</f>
        <v>72496.550040472284</v>
      </c>
      <c r="AG96" s="195">
        <f t="shared" si="116"/>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17">(AH96-AB96)/AB96</f>
        <v>1.1234339043722905E-2</v>
      </c>
    </row>
    <row r="97" spans="1:35" x14ac:dyDescent="0.25">
      <c r="A97" t="s">
        <v>2902</v>
      </c>
      <c r="B97" t="s">
        <v>95</v>
      </c>
      <c r="C97" t="s">
        <v>1644</v>
      </c>
      <c r="D97">
        <v>2022</v>
      </c>
      <c r="E97">
        <v>2018</v>
      </c>
      <c r="F97" t="s">
        <v>1781</v>
      </c>
      <c r="G97" s="259">
        <f t="shared" si="101"/>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4753</v>
      </c>
      <c r="S97" s="717">
        <v>3</v>
      </c>
      <c r="T97" s="377">
        <v>1</v>
      </c>
      <c r="U97" s="377">
        <v>1</v>
      </c>
      <c r="V97" s="377">
        <v>3</v>
      </c>
      <c r="W97" s="377">
        <v>1</v>
      </c>
      <c r="Z97">
        <v>5</v>
      </c>
      <c r="AA97" s="17" t="s">
        <v>3979</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16"/>
        <v>78310.152711319199</v>
      </c>
      <c r="AG97" s="195">
        <f t="shared" si="116"/>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17"/>
        <v>7.8571849755292248E-3</v>
      </c>
    </row>
    <row r="98" spans="1:35" x14ac:dyDescent="0.25">
      <c r="A98" t="s">
        <v>4689</v>
      </c>
      <c r="B98" t="s">
        <v>95</v>
      </c>
      <c r="C98" t="s">
        <v>4742</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4747</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16"/>
        <v>77239.829253908771</v>
      </c>
      <c r="AG98" s="195">
        <f t="shared" si="116"/>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17"/>
        <v>-4.9942651619206656E-2</v>
      </c>
    </row>
    <row r="99" spans="1:35" x14ac:dyDescent="0.25">
      <c r="A99" t="s">
        <v>4690</v>
      </c>
      <c r="B99" t="s">
        <v>95</v>
      </c>
      <c r="C99" t="s">
        <v>4742</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4747</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16"/>
        <v>81953.302958713335</v>
      </c>
      <c r="AG99" s="195">
        <f t="shared" si="116"/>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17"/>
        <v>-0.38367612895914788</v>
      </c>
    </row>
    <row r="100" spans="1:35" x14ac:dyDescent="0.25">
      <c r="A100" t="s">
        <v>2884</v>
      </c>
      <c r="B100" t="s">
        <v>95</v>
      </c>
      <c r="C100" t="s">
        <v>4742</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4748</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16"/>
        <v>73663.16821807815</v>
      </c>
      <c r="AG100" s="195">
        <f t="shared" si="116"/>
        <v>69505.299763925053</v>
      </c>
      <c r="AH100" s="195" cm="1">
        <f t="array" ref="AH100">AVERAGE(_xlfn._xlws.FILTER('Autonomie 2023 MHDV'!$AL:$AL,('Autonomie 2023 MHDV'!$A:$A=$AA100)*('Autonomie 2023 MHDV'!$B:$B=AH$70)*('Autonomie 2023 MHDV'!$F:$F=$Z100)*('Autonomie 2023 MHDV'!$D:$D&lt;&gt;"School")))</f>
        <v>65347.431309771971</v>
      </c>
      <c r="AI100" s="85">
        <f t="shared" si="117"/>
        <v>-0.45413107595663998</v>
      </c>
    </row>
    <row r="101" spans="1:35" x14ac:dyDescent="0.25">
      <c r="A101" t="s">
        <v>4693</v>
      </c>
      <c r="B101" t="s">
        <v>95</v>
      </c>
      <c r="C101" t="s">
        <v>4742</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4748</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16"/>
        <v>77620.422671824082</v>
      </c>
      <c r="AG101" s="195">
        <f t="shared" si="116"/>
        <v>75573.013501954381</v>
      </c>
      <c r="AH101" s="195" cm="1">
        <f t="array" ref="AH101">AVERAGE(_xlfn._xlws.FILTER('Autonomie 2023 MHDV'!$AL:$AL,('Autonomie 2023 MHDV'!$A:$A=$AA101)*('Autonomie 2023 MHDV'!$B:$B=AH$70)*('Autonomie 2023 MHDV'!$F:$F=$Z101)*('Autonomie 2023 MHDV'!$D:$D&lt;&gt;"School")))</f>
        <v>73525.604332084666</v>
      </c>
      <c r="AI101" s="85">
        <f t="shared" si="117"/>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16"/>
        <v>68756.340829071632</v>
      </c>
      <c r="AG102" s="195">
        <f t="shared" si="116"/>
        <v>66368.07891946251</v>
      </c>
      <c r="AH102" s="195" cm="1">
        <f t="array" ref="AH102">AVERAGE(_xlfn._xlws.FILTER('Autonomie 2023 MHDV'!$AL:$AL,('Autonomie 2023 MHDV'!$A:$A=$AA102)*('Autonomie 2023 MHDV'!$B:$B=AH$70)*('Autonomie 2023 MHDV'!$F:$F=$Z102)*('Autonomie 2023 MHDV'!$D:$D&lt;&gt;"School")))</f>
        <v>63979.817009853403</v>
      </c>
      <c r="AI102" s="85">
        <f t="shared" si="117"/>
        <v>-0.31914556189918508</v>
      </c>
    </row>
    <row r="103" spans="1:35" x14ac:dyDescent="0.25">
      <c r="K103" s="277"/>
      <c r="L103" s="73"/>
      <c r="M103" s="73"/>
      <c r="N103" s="73"/>
      <c r="O103" s="73"/>
      <c r="P103" s="73"/>
      <c r="Q103" s="73"/>
      <c r="Z103">
        <v>6</v>
      </c>
      <c r="AA103" s="28" t="s">
        <v>3996</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18">($AH104-$AE104)/3 + AE104</f>
        <v>78097.565557871843</v>
      </c>
      <c r="AG104" s="195">
        <f t="shared" si="118"/>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19">(AH104-AB104)/AB104</f>
        <v>5.4862696305575697E-4</v>
      </c>
    </row>
    <row r="105" spans="1:35" x14ac:dyDescent="0.25">
      <c r="K105" s="277"/>
      <c r="L105" s="73"/>
      <c r="M105" s="73"/>
      <c r="N105" s="73"/>
      <c r="O105" s="73"/>
      <c r="P105" s="73"/>
      <c r="Q105" s="73"/>
      <c r="Z105">
        <v>6</v>
      </c>
      <c r="AA105" s="17" t="s">
        <v>3979</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18"/>
        <v>82174.296794082489</v>
      </c>
      <c r="AG105" s="195">
        <f t="shared" si="118"/>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19"/>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18"/>
        <v>87094.498449782826</v>
      </c>
      <c r="AG106" s="195">
        <f t="shared" si="118"/>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19"/>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18"/>
        <v>101727.09257852874</v>
      </c>
      <c r="AG107" s="195">
        <f t="shared" si="118"/>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19"/>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18"/>
        <v>91732.184643322456</v>
      </c>
      <c r="AG108" s="195">
        <f t="shared" si="118"/>
        <v>86342.737287622134</v>
      </c>
      <c r="AH108" s="195" cm="1">
        <f t="array" ref="AH108">AVERAGE(_xlfn._xlws.FILTER('Autonomie 2023 MHDV'!$AL:$AL,('Autonomie 2023 MHDV'!$A:$A=$AA108)*('Autonomie 2023 MHDV'!$B:$B=AH$70)*('Autonomie 2023 MHDV'!$F:$F=$Z108)*('Autonomie 2023 MHDV'!$D:$D&lt;&gt;"School")))</f>
        <v>80953.289931921812</v>
      </c>
      <c r="AI108" s="85">
        <f t="shared" si="119"/>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18"/>
        <v>87125.45032413135</v>
      </c>
      <c r="AG109" s="195">
        <f t="shared" si="118"/>
        <v>85060.590920575429</v>
      </c>
      <c r="AH109" s="195" cm="1">
        <f t="array" ref="AH109">AVERAGE(_xlfn._xlws.FILTER('Autonomie 2023 MHDV'!$AL:$AL,('Autonomie 2023 MHDV'!$A:$A=$AA109)*('Autonomie 2023 MHDV'!$B:$B=AH$70)*('Autonomie 2023 MHDV'!$F:$F=$Z109)*('Autonomie 2023 MHDV'!$D:$D&lt;&gt;"School")))</f>
        <v>82995.731517019507</v>
      </c>
      <c r="AI109" s="85">
        <f t="shared" si="119"/>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18"/>
        <v>84146.810070466861</v>
      </c>
      <c r="AG110" s="195">
        <f t="shared" si="118"/>
        <v>81372.732410233424</v>
      </c>
      <c r="AH110" s="195" cm="1">
        <f t="array" ref="AH110">AVERAGE(_xlfn._xlws.FILTER('Autonomie 2023 MHDV'!$AL:$AL,('Autonomie 2023 MHDV'!$A:$A=$AA110)*('Autonomie 2023 MHDV'!$B:$B=AH$70)*('Autonomie 2023 MHDV'!$F:$F=$Z110)*('Autonomie 2023 MHDV'!$D:$D&lt;&gt;"School")))</f>
        <v>78598.654749999972</v>
      </c>
      <c r="AI110" s="85">
        <f t="shared" si="119"/>
        <v>-0.31527278900921113</v>
      </c>
    </row>
    <row r="111" spans="1:35" x14ac:dyDescent="0.25">
      <c r="K111" s="277"/>
      <c r="L111" s="73"/>
      <c r="M111" s="73"/>
      <c r="N111" s="73"/>
      <c r="O111" s="73"/>
      <c r="P111" s="73"/>
      <c r="Q111" s="73"/>
      <c r="Z111">
        <v>7</v>
      </c>
      <c r="AA111" s="28" t="s">
        <v>3997</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0">($AH112-$AE112)/3 + AE112</f>
        <v>99020.523121606922</v>
      </c>
      <c r="AG112" s="195">
        <f t="shared" si="120"/>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1">(AH112-AB112)/AB112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0"/>
        <v>107351.03541026055</v>
      </c>
      <c r="AG113" s="195">
        <f t="shared" si="120"/>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1"/>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0"/>
        <v>140787.21164066228</v>
      </c>
      <c r="AG114" s="195">
        <f t="shared" si="120"/>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1"/>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0"/>
        <v>131176.71834242667</v>
      </c>
      <c r="AG115" s="195">
        <f t="shared" si="120"/>
        <v>121955.35251799671</v>
      </c>
      <c r="AH115" s="195" cm="1">
        <f t="array" ref="AH115">AVERAGE(_xlfn._xlws.FILTER('Autonomie 2023 MHDV'!$AL:$AL,('Autonomie 2023 MHDV'!$A:$A=$AA115)*('Autonomie 2023 MHDV'!$B:$B=AH$70)*('Autonomie 2023 MHDV'!$F:$F=$Z115)*('Autonomie 2023 MHDV'!$D:$D&lt;&gt;"School")))</f>
        <v>112733.98669356674</v>
      </c>
      <c r="AI115" s="85">
        <f t="shared" si="121"/>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0"/>
        <v>120369.67398398477</v>
      </c>
      <c r="AG116" s="195">
        <f t="shared" si="120"/>
        <v>116776.70908018456</v>
      </c>
      <c r="AH116" s="195" cm="1">
        <f t="array" ref="AH116">AVERAGE(_xlfn._xlws.FILTER('Autonomie 2023 MHDV'!$AL:$AL,('Autonomie 2023 MHDV'!$A:$A=$AA116)*('Autonomie 2023 MHDV'!$B:$B=AH$70)*('Autonomie 2023 MHDV'!$F:$F=$Z116)*('Autonomie 2023 MHDV'!$D:$D&lt;&gt;"School")))</f>
        <v>113183.74417638434</v>
      </c>
      <c r="AI116" s="85">
        <f t="shared" si="121"/>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0"/>
        <v>114477.60894853417</v>
      </c>
      <c r="AG117" s="195">
        <f t="shared" si="120"/>
        <v>110440.49101653091</v>
      </c>
      <c r="AH117" s="195" cm="1">
        <f t="array" ref="AH117">AVERAGE(_xlfn._xlws.FILTER('Autonomie 2023 MHDV'!$AL:$AL,('Autonomie 2023 MHDV'!$A:$A=$AA117)*('Autonomie 2023 MHDV'!$B:$B=AH$70)*('Autonomie 2023 MHDV'!$F:$F=$Z117)*('Autonomie 2023 MHDV'!$D:$D&lt;&gt;"School")))</f>
        <v>106403.37308452766</v>
      </c>
      <c r="AI117" s="85">
        <f t="shared" si="121"/>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2">($AH119-$AE119)/3 + AE119</f>
        <v>134009.26065420735</v>
      </c>
      <c r="AG119" s="195">
        <f t="shared" si="122"/>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1"/>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2"/>
        <v>144293.18012396846</v>
      </c>
      <c r="AG120" s="195">
        <f t="shared" si="122"/>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1"/>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2"/>
        <v>177348.25344058085</v>
      </c>
      <c r="AG121" s="195">
        <f t="shared" si="122"/>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1"/>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2"/>
        <v>165537.75695819757</v>
      </c>
      <c r="AG122" s="195">
        <f t="shared" si="122"/>
        <v>151759.07791435937</v>
      </c>
      <c r="AH122" s="195" cm="1">
        <f t="array" ref="AH122">AVERAGE(_xlfn._xlws.FILTER('Autonomie 2023 MHDV'!$AL:$AL,('Autonomie 2023 MHDV'!$A:$A=$AA122)*('Autonomie 2023 MHDV'!$B:$B=AH$70)*('Autonomie 2023 MHDV'!$F:$F=$Z122)*('Autonomie 2023 MHDV'!$E:$E="DayCab")))</f>
        <v>137980.39887052114</v>
      </c>
      <c r="AI122" s="85">
        <f t="shared" si="121"/>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2"/>
        <v>183993.22600390873</v>
      </c>
      <c r="AG123" s="195">
        <f t="shared" si="122"/>
        <v>174641.17448778494</v>
      </c>
      <c r="AH123" s="195" cm="1">
        <f t="array" ref="AH123">AVERAGE(_xlfn._xlws.FILTER('Autonomie 2023 MHDV'!$AL:$AL,('Autonomie 2023 MHDV'!$A:$A=$AA123)*('Autonomie 2023 MHDV'!$B:$B=AH$70)*('Autonomie 2023 MHDV'!$F:$F=$Z123)*('Autonomie 2023 MHDV'!$E:$E="DayCab")))</f>
        <v>165289.12297166119</v>
      </c>
      <c r="AI123" s="85">
        <f t="shared" si="121"/>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2"/>
        <v>149351.9646574104</v>
      </c>
      <c r="AG124" s="195">
        <f t="shared" si="122"/>
        <v>141420.64238607491</v>
      </c>
      <c r="AH124" s="195" cm="1">
        <f t="array" ref="AH124">AVERAGE(_xlfn._xlws.FILTER('Autonomie 2023 MHDV'!$AL:$AL,('Autonomie 2023 MHDV'!$A:$A=$AA124)*('Autonomie 2023 MHDV'!$B:$B=AH$70)*('Autonomie 2023 MHDV'!$F:$F=$Z124)*('Autonomie 2023 MHDV'!$E:$E="DayCab")))</f>
        <v>133489.32011473938</v>
      </c>
      <c r="AI124" s="85">
        <f t="shared" si="121"/>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3">($AH126-$AE126)/3 + AE126</f>
        <v>157656.23790855042</v>
      </c>
      <c r="AG126" s="195">
        <f t="shared" si="123"/>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4">(AH126-AB126)/AB126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3"/>
        <v>168890.62193135175</v>
      </c>
      <c r="AG127" s="195">
        <f t="shared" si="123"/>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4"/>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3"/>
        <v>277260.01221986965</v>
      </c>
      <c r="AG128" s="195">
        <f t="shared" si="123"/>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4"/>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3"/>
        <v>282728.94093192171</v>
      </c>
      <c r="AG129" s="195">
        <f t="shared" si="123"/>
        <v>250458.36388737775</v>
      </c>
      <c r="AH129" s="195" cm="1">
        <f t="array" ref="AH129">AVERAGE(_xlfn._xlws.FILTER('Autonomie 2023 MHDV'!$AL:$AL,('Autonomie 2023 MHDV'!$A:$A=$AA129)*('Autonomie 2023 MHDV'!$B:$B=AH$70)*('Autonomie 2023 MHDV'!$F:$F=$Z129)*('Autonomie 2023 MHDV'!$E:$E="Sleeper")))</f>
        <v>218187.78684283383</v>
      </c>
      <c r="AI129" s="85">
        <f t="shared" si="124"/>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3"/>
        <v>235013.76070936475</v>
      </c>
      <c r="AG130" s="195">
        <f t="shared" si="123"/>
        <v>220987.59404470678</v>
      </c>
      <c r="AH130" s="195" cm="1">
        <f t="array" ref="AH130">AVERAGE(_xlfn._xlws.FILTER('Autonomie 2023 MHDV'!$AL:$AL,('Autonomie 2023 MHDV'!$A:$A=$AA130)*('Autonomie 2023 MHDV'!$B:$B=AH$70)*('Autonomie 2023 MHDV'!$F:$F=$Z130)*('Autonomie 2023 MHDV'!$E:$E="Sleeper")))</f>
        <v>206961.42738004879</v>
      </c>
      <c r="AI130" s="85">
        <f t="shared" si="124"/>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3"/>
        <v>182441.04682361559</v>
      </c>
      <c r="AG131" s="195">
        <f t="shared" si="123"/>
        <v>171481.02632899018</v>
      </c>
      <c r="AH131" s="195" cm="1">
        <f t="array" ref="AH131">AVERAGE(_xlfn._xlws.FILTER('Autonomie 2023 MHDV'!$AL:$AL,('Autonomie 2023 MHDV'!$A:$A=$AA131)*('Autonomie 2023 MHDV'!$B:$B=AH$70)*('Autonomie 2023 MHDV'!$F:$F=$Z131)*('Autonomie 2023 MHDV'!$E:$E="Sleeper")))</f>
        <v>160521.00583436477</v>
      </c>
      <c r="AI131" s="85">
        <f t="shared" si="124"/>
        <v>-0.463612892351774</v>
      </c>
    </row>
    <row r="132" spans="26:35" x14ac:dyDescent="0.25">
      <c r="AA132" s="61" t="s">
        <v>3980</v>
      </c>
    </row>
    <row r="134" spans="26:35" ht="15.75" x14ac:dyDescent="0.25">
      <c r="AA134" s="159" t="s">
        <v>1471</v>
      </c>
    </row>
    <row r="135" spans="26:35" ht="15.75" thickBot="1" x14ac:dyDescent="0.3">
      <c r="AA135" s="88" t="s">
        <v>4053</v>
      </c>
      <c r="AB135" s="88" t="s">
        <v>1482</v>
      </c>
      <c r="AC135" s="88" t="s">
        <v>3998</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4001</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2640</v>
      </c>
      <c r="AF1" s="1043" t="s">
        <v>2641</v>
      </c>
      <c r="AG1" s="159" t="s">
        <v>2919</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88" t="s">
        <v>1850</v>
      </c>
      <c r="AH2" s="88">
        <v>2020</v>
      </c>
      <c r="AI2" s="88">
        <v>2025</v>
      </c>
      <c r="AJ2" s="88">
        <v>2030</v>
      </c>
      <c r="AK2" s="88">
        <v>2035</v>
      </c>
      <c r="AL2" s="88">
        <v>2040</v>
      </c>
      <c r="AM2" s="88">
        <v>2045</v>
      </c>
      <c r="AN2" s="88">
        <v>2050</v>
      </c>
    </row>
    <row r="3" spans="1:40" ht="15.75" thickTop="1" x14ac:dyDescent="0.25">
      <c r="A3" t="s">
        <v>4768</v>
      </c>
      <c r="B3" t="s">
        <v>95</v>
      </c>
      <c r="C3" t="s">
        <v>1644</v>
      </c>
      <c r="D3">
        <v>2022</v>
      </c>
      <c r="E3">
        <v>2018</v>
      </c>
      <c r="F3" s="259">
        <f t="shared" ref="F3:F41" si="0">USD2018_to_CAD2020</f>
        <v>1.3371624000000004</v>
      </c>
      <c r="G3" t="s">
        <v>1781</v>
      </c>
      <c r="H3">
        <v>2020</v>
      </c>
      <c r="I3" t="s">
        <v>1783</v>
      </c>
      <c r="J3" t="s">
        <v>2916</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43"/>
      <c r="AF3" s="1043"/>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4768</v>
      </c>
      <c r="B4" t="s">
        <v>95</v>
      </c>
      <c r="C4" t="s">
        <v>1644</v>
      </c>
      <c r="D4">
        <v>2022</v>
      </c>
      <c r="E4">
        <v>2018</v>
      </c>
      <c r="F4" s="259">
        <f t="shared" si="0"/>
        <v>1.3371624000000004</v>
      </c>
      <c r="G4" t="s">
        <v>1781</v>
      </c>
      <c r="H4">
        <v>2020</v>
      </c>
      <c r="I4" t="s">
        <v>1783</v>
      </c>
      <c r="J4" t="s">
        <v>2916</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43"/>
      <c r="AF4" s="1043"/>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4768</v>
      </c>
      <c r="B5" t="s">
        <v>95</v>
      </c>
      <c r="C5" t="s">
        <v>1644</v>
      </c>
      <c r="D5">
        <v>2022</v>
      </c>
      <c r="E5">
        <v>2018</v>
      </c>
      <c r="F5" s="259">
        <f t="shared" si="0"/>
        <v>1.3371624000000004</v>
      </c>
      <c r="G5" t="s">
        <v>1781</v>
      </c>
      <c r="H5">
        <v>2020</v>
      </c>
      <c r="I5" t="s">
        <v>1783</v>
      </c>
      <c r="J5" t="s">
        <v>2916</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43"/>
      <c r="AF5" s="1043"/>
      <c r="AG5" s="61" t="s">
        <v>1854</v>
      </c>
    </row>
    <row r="6" spans="1:40" x14ac:dyDescent="0.25">
      <c r="A6" t="s">
        <v>4768</v>
      </c>
      <c r="B6" t="s">
        <v>95</v>
      </c>
      <c r="C6" t="s">
        <v>1644</v>
      </c>
      <c r="D6">
        <v>2022</v>
      </c>
      <c r="E6">
        <v>2018</v>
      </c>
      <c r="F6" s="259">
        <f t="shared" si="0"/>
        <v>1.3371624000000004</v>
      </c>
      <c r="G6" t="s">
        <v>1781</v>
      </c>
      <c r="H6">
        <v>2020</v>
      </c>
      <c r="I6" t="s">
        <v>1783</v>
      </c>
      <c r="J6" t="s">
        <v>2916</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43"/>
      <c r="AF6" s="1043"/>
    </row>
    <row r="7" spans="1:40" x14ac:dyDescent="0.25">
      <c r="A7" t="s">
        <v>4768</v>
      </c>
      <c r="B7" t="s">
        <v>95</v>
      </c>
      <c r="C7" t="s">
        <v>1644</v>
      </c>
      <c r="D7">
        <v>2022</v>
      </c>
      <c r="E7">
        <v>2018</v>
      </c>
      <c r="F7" s="259">
        <f t="shared" si="0"/>
        <v>1.3371624000000004</v>
      </c>
      <c r="G7" t="s">
        <v>1781</v>
      </c>
      <c r="H7">
        <v>2020</v>
      </c>
      <c r="I7" t="s">
        <v>1783</v>
      </c>
      <c r="J7" t="s">
        <v>2916</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43"/>
      <c r="AF7" s="1043"/>
    </row>
    <row r="8" spans="1:40" x14ac:dyDescent="0.25">
      <c r="A8" t="s">
        <v>4768</v>
      </c>
      <c r="B8" t="s">
        <v>95</v>
      </c>
      <c r="C8" t="s">
        <v>1644</v>
      </c>
      <c r="D8">
        <v>2022</v>
      </c>
      <c r="E8">
        <v>2018</v>
      </c>
      <c r="F8" s="259">
        <f t="shared" si="0"/>
        <v>1.3371624000000004</v>
      </c>
      <c r="G8" t="s">
        <v>1781</v>
      </c>
      <c r="H8">
        <v>2020</v>
      </c>
      <c r="I8" t="s">
        <v>1783</v>
      </c>
      <c r="J8" t="s">
        <v>2916</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43"/>
      <c r="AF8" s="1043"/>
    </row>
    <row r="9" spans="1:40" x14ac:dyDescent="0.25">
      <c r="A9" t="s">
        <v>4768</v>
      </c>
      <c r="B9" t="s">
        <v>95</v>
      </c>
      <c r="C9" t="s">
        <v>1644</v>
      </c>
      <c r="D9">
        <v>2022</v>
      </c>
      <c r="E9">
        <v>2018</v>
      </c>
      <c r="F9" s="259">
        <f t="shared" si="0"/>
        <v>1.3371624000000004</v>
      </c>
      <c r="G9" t="s">
        <v>1781</v>
      </c>
      <c r="H9">
        <v>2020</v>
      </c>
      <c r="I9" t="s">
        <v>1783</v>
      </c>
      <c r="J9" t="s">
        <v>2916</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43"/>
      <c r="AF9" s="1043"/>
    </row>
    <row r="10" spans="1:40" x14ac:dyDescent="0.25">
      <c r="A10" t="s">
        <v>4769</v>
      </c>
      <c r="B10" t="s">
        <v>95</v>
      </c>
      <c r="C10" t="s">
        <v>1644</v>
      </c>
      <c r="D10">
        <v>2022</v>
      </c>
      <c r="E10">
        <v>2018</v>
      </c>
      <c r="F10" s="259">
        <f t="shared" si="0"/>
        <v>1.3371624000000004</v>
      </c>
      <c r="G10" t="s">
        <v>1781</v>
      </c>
      <c r="H10">
        <v>2020</v>
      </c>
      <c r="I10" t="s">
        <v>1783</v>
      </c>
      <c r="J10" t="s">
        <v>2916</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43"/>
      <c r="AF10" s="1043"/>
    </row>
    <row r="11" spans="1:40" x14ac:dyDescent="0.25">
      <c r="A11" t="s">
        <v>4769</v>
      </c>
      <c r="B11" t="s">
        <v>95</v>
      </c>
      <c r="C11" t="s">
        <v>1644</v>
      </c>
      <c r="D11">
        <v>2022</v>
      </c>
      <c r="E11">
        <v>2018</v>
      </c>
      <c r="F11" s="259">
        <f t="shared" si="0"/>
        <v>1.3371624000000004</v>
      </c>
      <c r="G11" t="s">
        <v>1781</v>
      </c>
      <c r="H11">
        <v>2020</v>
      </c>
      <c r="I11" t="s">
        <v>1783</v>
      </c>
      <c r="J11" t="s">
        <v>2916</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43"/>
      <c r="AF11" s="1043"/>
    </row>
    <row r="12" spans="1:40" x14ac:dyDescent="0.25">
      <c r="A12" t="s">
        <v>4769</v>
      </c>
      <c r="B12" t="s">
        <v>95</v>
      </c>
      <c r="C12" t="s">
        <v>1644</v>
      </c>
      <c r="D12">
        <v>2022</v>
      </c>
      <c r="E12">
        <v>2018</v>
      </c>
      <c r="F12" s="259">
        <f t="shared" si="0"/>
        <v>1.3371624000000004</v>
      </c>
      <c r="G12" t="s">
        <v>1781</v>
      </c>
      <c r="H12">
        <v>2020</v>
      </c>
      <c r="I12" t="s">
        <v>1783</v>
      </c>
      <c r="J12" t="s">
        <v>2916</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43"/>
      <c r="AF12" s="1043"/>
    </row>
    <row r="13" spans="1:40" x14ac:dyDescent="0.25">
      <c r="A13" t="s">
        <v>4769</v>
      </c>
      <c r="B13" t="s">
        <v>95</v>
      </c>
      <c r="C13" t="s">
        <v>1644</v>
      </c>
      <c r="D13">
        <v>2022</v>
      </c>
      <c r="E13">
        <v>2018</v>
      </c>
      <c r="F13" s="259">
        <f t="shared" si="0"/>
        <v>1.3371624000000004</v>
      </c>
      <c r="G13" t="s">
        <v>1781</v>
      </c>
      <c r="H13">
        <v>2020</v>
      </c>
      <c r="I13" t="s">
        <v>1783</v>
      </c>
      <c r="J13" t="s">
        <v>2916</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43"/>
      <c r="AF13" s="1043"/>
    </row>
    <row r="14" spans="1:40" x14ac:dyDescent="0.25">
      <c r="A14" t="s">
        <v>4769</v>
      </c>
      <c r="B14" t="s">
        <v>95</v>
      </c>
      <c r="C14" t="s">
        <v>1644</v>
      </c>
      <c r="D14">
        <v>2022</v>
      </c>
      <c r="E14">
        <v>2018</v>
      </c>
      <c r="F14" s="259">
        <f t="shared" si="0"/>
        <v>1.3371624000000004</v>
      </c>
      <c r="G14" t="s">
        <v>1781</v>
      </c>
      <c r="H14">
        <v>2020</v>
      </c>
      <c r="I14" t="s">
        <v>1783</v>
      </c>
      <c r="J14" t="s">
        <v>2916</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43"/>
      <c r="AF14" s="1043"/>
    </row>
    <row r="15" spans="1:40" x14ac:dyDescent="0.25">
      <c r="A15" t="s">
        <v>4769</v>
      </c>
      <c r="B15" t="s">
        <v>95</v>
      </c>
      <c r="C15" t="s">
        <v>1644</v>
      </c>
      <c r="D15">
        <v>2022</v>
      </c>
      <c r="E15">
        <v>2018</v>
      </c>
      <c r="F15" s="259">
        <f t="shared" si="0"/>
        <v>1.3371624000000004</v>
      </c>
      <c r="G15" t="s">
        <v>1781</v>
      </c>
      <c r="H15">
        <v>2020</v>
      </c>
      <c r="I15" t="s">
        <v>1783</v>
      </c>
      <c r="J15" t="s">
        <v>2916</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43"/>
      <c r="AF15" s="1043"/>
    </row>
    <row r="16" spans="1:40" x14ac:dyDescent="0.25">
      <c r="A16" t="s">
        <v>4769</v>
      </c>
      <c r="B16" t="s">
        <v>95</v>
      </c>
      <c r="C16" t="s">
        <v>1644</v>
      </c>
      <c r="D16">
        <v>2022</v>
      </c>
      <c r="E16">
        <v>2018</v>
      </c>
      <c r="F16" s="259">
        <f t="shared" si="0"/>
        <v>1.3371624000000004</v>
      </c>
      <c r="G16" t="s">
        <v>1781</v>
      </c>
      <c r="H16">
        <v>2020</v>
      </c>
      <c r="I16" t="s">
        <v>1783</v>
      </c>
      <c r="J16" t="s">
        <v>2916</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43"/>
      <c r="AF16" s="1043"/>
    </row>
    <row r="17" spans="1:32" x14ac:dyDescent="0.25">
      <c r="A17" t="s">
        <v>1825</v>
      </c>
      <c r="B17" t="s">
        <v>95</v>
      </c>
      <c r="C17" t="s">
        <v>1644</v>
      </c>
      <c r="D17">
        <v>2022</v>
      </c>
      <c r="E17">
        <v>2018</v>
      </c>
      <c r="F17" s="259">
        <f t="shared" si="0"/>
        <v>1.3371624000000004</v>
      </c>
      <c r="G17" t="s">
        <v>1781</v>
      </c>
      <c r="H17">
        <v>2020</v>
      </c>
      <c r="I17" t="s">
        <v>1783</v>
      </c>
      <c r="J17" t="s">
        <v>2916</v>
      </c>
      <c r="K17" s="336">
        <v>2021</v>
      </c>
      <c r="N17" s="80"/>
      <c r="O17" s="80"/>
      <c r="P17" s="325"/>
      <c r="Q17" s="80">
        <f>$AH$4</f>
        <v>9.3601368000000032E-2</v>
      </c>
      <c r="R17" s="80"/>
      <c r="S17" s="80"/>
      <c r="T17" s="80"/>
      <c r="X17" s="54" t="s">
        <v>1858</v>
      </c>
      <c r="Y17" s="377">
        <v>3</v>
      </c>
      <c r="Z17" s="377">
        <v>1</v>
      </c>
      <c r="AA17" s="377">
        <v>1</v>
      </c>
      <c r="AB17" s="377">
        <v>3</v>
      </c>
      <c r="AC17" s="377">
        <v>1</v>
      </c>
      <c r="AD17" s="1043"/>
      <c r="AF17" s="1043"/>
    </row>
    <row r="18" spans="1:32" x14ac:dyDescent="0.25">
      <c r="A18" t="s">
        <v>1825</v>
      </c>
      <c r="B18" t="s">
        <v>95</v>
      </c>
      <c r="C18" t="s">
        <v>1644</v>
      </c>
      <c r="D18">
        <v>2022</v>
      </c>
      <c r="E18">
        <v>2018</v>
      </c>
      <c r="F18" s="259">
        <f t="shared" si="0"/>
        <v>1.3371624000000004</v>
      </c>
      <c r="G18" t="s">
        <v>1781</v>
      </c>
      <c r="H18">
        <v>2020</v>
      </c>
      <c r="I18" t="s">
        <v>1783</v>
      </c>
      <c r="J18" t="s">
        <v>2916</v>
      </c>
      <c r="K18" s="336">
        <v>2025</v>
      </c>
      <c r="O18" s="80"/>
      <c r="P18" s="325"/>
      <c r="Q18" s="80">
        <f>$AH$4</f>
        <v>9.3601368000000032E-2</v>
      </c>
      <c r="R18" s="80">
        <f>$AI$4</f>
        <v>9.3601368000000032E-2</v>
      </c>
      <c r="S18" s="80"/>
      <c r="T18" s="80"/>
      <c r="X18" s="54" t="s">
        <v>1858</v>
      </c>
      <c r="Y18" s="377">
        <v>3</v>
      </c>
      <c r="Z18" s="377">
        <v>1</v>
      </c>
      <c r="AA18" s="377">
        <v>1</v>
      </c>
      <c r="AB18" s="377">
        <v>3</v>
      </c>
      <c r="AC18" s="377">
        <v>1</v>
      </c>
      <c r="AD18" s="1043"/>
      <c r="AF18" s="1043"/>
    </row>
    <row r="19" spans="1:32" x14ac:dyDescent="0.25">
      <c r="A19" t="s">
        <v>1825</v>
      </c>
      <c r="B19" t="s">
        <v>95</v>
      </c>
      <c r="C19" t="s">
        <v>1644</v>
      </c>
      <c r="D19">
        <v>2022</v>
      </c>
      <c r="E19">
        <v>2018</v>
      </c>
      <c r="F19" s="259">
        <f t="shared" si="0"/>
        <v>1.3371624000000004</v>
      </c>
      <c r="G19" t="s">
        <v>1781</v>
      </c>
      <c r="H19">
        <v>2020</v>
      </c>
      <c r="I19" t="s">
        <v>1783</v>
      </c>
      <c r="J19" t="s">
        <v>2916</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43"/>
      <c r="AF19" s="1043"/>
    </row>
    <row r="20" spans="1:32" x14ac:dyDescent="0.25">
      <c r="A20" t="s">
        <v>1825</v>
      </c>
      <c r="B20" t="s">
        <v>95</v>
      </c>
      <c r="C20" t="s">
        <v>1644</v>
      </c>
      <c r="D20">
        <v>2022</v>
      </c>
      <c r="E20">
        <v>2018</v>
      </c>
      <c r="F20" s="259">
        <f t="shared" si="0"/>
        <v>1.3371624000000004</v>
      </c>
      <c r="G20" t="s">
        <v>1781</v>
      </c>
      <c r="H20">
        <v>2020</v>
      </c>
      <c r="I20" t="s">
        <v>1783</v>
      </c>
      <c r="J20" t="s">
        <v>2916</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43"/>
      <c r="AF20" s="1043"/>
    </row>
    <row r="21" spans="1:32" x14ac:dyDescent="0.25">
      <c r="A21" t="s">
        <v>1825</v>
      </c>
      <c r="B21" t="s">
        <v>95</v>
      </c>
      <c r="C21" t="s">
        <v>1644</v>
      </c>
      <c r="D21">
        <v>2022</v>
      </c>
      <c r="E21">
        <v>2018</v>
      </c>
      <c r="F21" s="259">
        <f t="shared" si="0"/>
        <v>1.3371624000000004</v>
      </c>
      <c r="G21" t="s">
        <v>1781</v>
      </c>
      <c r="H21">
        <v>2020</v>
      </c>
      <c r="I21" t="s">
        <v>1783</v>
      </c>
      <c r="J21" t="s">
        <v>2916</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43"/>
      <c r="AF21" s="1043"/>
    </row>
    <row r="22" spans="1:32" x14ac:dyDescent="0.25">
      <c r="A22" t="s">
        <v>1825</v>
      </c>
      <c r="B22" t="s">
        <v>95</v>
      </c>
      <c r="C22" t="s">
        <v>1644</v>
      </c>
      <c r="D22">
        <v>2022</v>
      </c>
      <c r="E22">
        <v>2018</v>
      </c>
      <c r="F22" s="259">
        <f t="shared" si="0"/>
        <v>1.3371624000000004</v>
      </c>
      <c r="G22" t="s">
        <v>1781</v>
      </c>
      <c r="H22">
        <v>2020</v>
      </c>
      <c r="I22" t="s">
        <v>1783</v>
      </c>
      <c r="J22" t="s">
        <v>2916</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43"/>
      <c r="AF22" s="1043"/>
    </row>
    <row r="23" spans="1:32" x14ac:dyDescent="0.25">
      <c r="A23" t="s">
        <v>1825</v>
      </c>
      <c r="B23" t="s">
        <v>95</v>
      </c>
      <c r="C23" t="s">
        <v>1644</v>
      </c>
      <c r="D23">
        <v>2022</v>
      </c>
      <c r="E23">
        <v>2018</v>
      </c>
      <c r="F23" s="259">
        <f t="shared" si="0"/>
        <v>1.3371624000000004</v>
      </c>
      <c r="G23" t="s">
        <v>1781</v>
      </c>
      <c r="H23">
        <v>2020</v>
      </c>
      <c r="I23" t="s">
        <v>1783</v>
      </c>
      <c r="J23" t="s">
        <v>2916</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43"/>
      <c r="AF23" s="1043"/>
    </row>
    <row r="24" spans="1:32" x14ac:dyDescent="0.25">
      <c r="A24" t="s">
        <v>1821</v>
      </c>
      <c r="B24" t="s">
        <v>95</v>
      </c>
      <c r="C24" t="s">
        <v>1644</v>
      </c>
      <c r="D24">
        <v>2022</v>
      </c>
      <c r="E24">
        <v>2018</v>
      </c>
      <c r="F24" s="259">
        <f t="shared" si="0"/>
        <v>1.3371624000000004</v>
      </c>
      <c r="G24" t="s">
        <v>1781</v>
      </c>
      <c r="H24">
        <v>2020</v>
      </c>
      <c r="I24" t="s">
        <v>1783</v>
      </c>
      <c r="J24" t="s">
        <v>2916</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43"/>
      <c r="AF24" s="1043"/>
    </row>
    <row r="25" spans="1:32" x14ac:dyDescent="0.25">
      <c r="A25" t="s">
        <v>1821</v>
      </c>
      <c r="B25" t="s">
        <v>95</v>
      </c>
      <c r="C25" t="s">
        <v>1644</v>
      </c>
      <c r="D25">
        <v>2022</v>
      </c>
      <c r="E25">
        <v>2018</v>
      </c>
      <c r="F25" s="259">
        <f t="shared" si="0"/>
        <v>1.3371624000000004</v>
      </c>
      <c r="G25" t="s">
        <v>1781</v>
      </c>
      <c r="H25">
        <v>2020</v>
      </c>
      <c r="I25" t="s">
        <v>1783</v>
      </c>
      <c r="J25" t="s">
        <v>2916</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43"/>
      <c r="AF25" s="1043"/>
    </row>
    <row r="26" spans="1:32" x14ac:dyDescent="0.25">
      <c r="A26" t="s">
        <v>1821</v>
      </c>
      <c r="B26" t="s">
        <v>95</v>
      </c>
      <c r="C26" t="s">
        <v>1644</v>
      </c>
      <c r="D26">
        <v>2022</v>
      </c>
      <c r="E26">
        <v>2018</v>
      </c>
      <c r="F26" s="259">
        <f t="shared" si="0"/>
        <v>1.3371624000000004</v>
      </c>
      <c r="G26" t="s">
        <v>1781</v>
      </c>
      <c r="H26">
        <v>2020</v>
      </c>
      <c r="I26" t="s">
        <v>1783</v>
      </c>
      <c r="J26" t="s">
        <v>2916</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43"/>
      <c r="AF26" s="1043"/>
    </row>
    <row r="27" spans="1:32" x14ac:dyDescent="0.25">
      <c r="A27" t="s">
        <v>1821</v>
      </c>
      <c r="B27" t="s">
        <v>95</v>
      </c>
      <c r="C27" t="s">
        <v>1644</v>
      </c>
      <c r="D27">
        <v>2022</v>
      </c>
      <c r="E27">
        <v>2018</v>
      </c>
      <c r="F27" s="259">
        <f t="shared" si="0"/>
        <v>1.3371624000000004</v>
      </c>
      <c r="G27" t="s">
        <v>1781</v>
      </c>
      <c r="H27">
        <v>2020</v>
      </c>
      <c r="I27" t="s">
        <v>1783</v>
      </c>
      <c r="J27" t="s">
        <v>2916</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43"/>
      <c r="AF27" s="1043"/>
    </row>
    <row r="28" spans="1:32" x14ac:dyDescent="0.25">
      <c r="A28" t="s">
        <v>1821</v>
      </c>
      <c r="B28" t="s">
        <v>95</v>
      </c>
      <c r="C28" t="s">
        <v>1644</v>
      </c>
      <c r="D28">
        <v>2022</v>
      </c>
      <c r="E28">
        <v>2018</v>
      </c>
      <c r="F28" s="259">
        <f t="shared" si="0"/>
        <v>1.3371624000000004</v>
      </c>
      <c r="G28" t="s">
        <v>1781</v>
      </c>
      <c r="H28">
        <v>2020</v>
      </c>
      <c r="I28" t="s">
        <v>1783</v>
      </c>
      <c r="J28" t="s">
        <v>2916</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43"/>
      <c r="AF28" s="1043"/>
    </row>
    <row r="29" spans="1:32" x14ac:dyDescent="0.25">
      <c r="A29" t="s">
        <v>1821</v>
      </c>
      <c r="B29" t="s">
        <v>95</v>
      </c>
      <c r="C29" t="s">
        <v>1644</v>
      </c>
      <c r="D29">
        <v>2022</v>
      </c>
      <c r="E29">
        <v>2018</v>
      </c>
      <c r="F29" s="259">
        <f t="shared" si="0"/>
        <v>1.3371624000000004</v>
      </c>
      <c r="G29" t="s">
        <v>1781</v>
      </c>
      <c r="H29">
        <v>2020</v>
      </c>
      <c r="I29" t="s">
        <v>1783</v>
      </c>
      <c r="J29" t="s">
        <v>2916</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43"/>
      <c r="AF29" s="1043"/>
    </row>
    <row r="30" spans="1:32" x14ac:dyDescent="0.25">
      <c r="A30" t="s">
        <v>1821</v>
      </c>
      <c r="B30" t="s">
        <v>95</v>
      </c>
      <c r="C30" t="s">
        <v>1644</v>
      </c>
      <c r="D30">
        <v>2022</v>
      </c>
      <c r="E30">
        <v>2018</v>
      </c>
      <c r="F30" s="259">
        <f t="shared" si="0"/>
        <v>1.3371624000000004</v>
      </c>
      <c r="G30" t="s">
        <v>1781</v>
      </c>
      <c r="H30">
        <v>2020</v>
      </c>
      <c r="I30" t="s">
        <v>1783</v>
      </c>
      <c r="J30" t="s">
        <v>2916</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43"/>
      <c r="AF30" s="1043"/>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43"/>
      <c r="AF31" s="1043"/>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43"/>
      <c r="AF32" s="1043"/>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43"/>
      <c r="AF33" s="1043"/>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43"/>
      <c r="AF34" s="1043"/>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43"/>
      <c r="AF35" s="1043"/>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43"/>
      <c r="AF36" s="1043"/>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43"/>
      <c r="AF37" s="1043"/>
    </row>
    <row r="38" spans="1:32" x14ac:dyDescent="0.25">
      <c r="A38" t="s">
        <v>1870</v>
      </c>
      <c r="B38" t="s">
        <v>95</v>
      </c>
      <c r="C38" t="s">
        <v>1644</v>
      </c>
      <c r="D38">
        <v>2022</v>
      </c>
      <c r="E38">
        <v>2018</v>
      </c>
      <c r="F38" s="259">
        <f t="shared" si="0"/>
        <v>1.3371624000000004</v>
      </c>
      <c r="G38" t="s">
        <v>1781</v>
      </c>
      <c r="H38">
        <v>2020</v>
      </c>
      <c r="I38" t="s">
        <v>1783</v>
      </c>
      <c r="J38" t="s">
        <v>2916</v>
      </c>
      <c r="K38" s="336">
        <v>2021</v>
      </c>
      <c r="O38" s="80"/>
      <c r="P38" s="325"/>
      <c r="Q38" s="80">
        <f>'OEO &amp; EPAUS9rT Data'!S$93*USD2018_to_CAD2020</f>
        <v>2.7411829200000004</v>
      </c>
      <c r="X38" s="54" t="s">
        <v>1910</v>
      </c>
      <c r="Y38" s="377">
        <v>3</v>
      </c>
      <c r="Z38" s="377">
        <v>1</v>
      </c>
      <c r="AA38" s="377">
        <v>1</v>
      </c>
      <c r="AB38" s="377">
        <v>3</v>
      </c>
      <c r="AC38" s="377">
        <v>1</v>
      </c>
      <c r="AD38" s="1043"/>
      <c r="AF38" s="1043"/>
    </row>
    <row r="39" spans="1:32" x14ac:dyDescent="0.25">
      <c r="A39" t="s">
        <v>1870</v>
      </c>
      <c r="B39" t="s">
        <v>95</v>
      </c>
      <c r="C39" t="s">
        <v>1644</v>
      </c>
      <c r="D39">
        <v>2022</v>
      </c>
      <c r="E39">
        <v>2018</v>
      </c>
      <c r="F39" s="259">
        <f t="shared" si="0"/>
        <v>1.3371624000000004</v>
      </c>
      <c r="G39" t="s">
        <v>1781</v>
      </c>
      <c r="H39">
        <v>2020</v>
      </c>
      <c r="I39" t="s">
        <v>1783</v>
      </c>
      <c r="J39" t="s">
        <v>2916</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43"/>
      <c r="AF39" s="1043"/>
    </row>
    <row r="40" spans="1:32" x14ac:dyDescent="0.25">
      <c r="A40" t="s">
        <v>1870</v>
      </c>
      <c r="B40" t="s">
        <v>95</v>
      </c>
      <c r="C40" t="s">
        <v>1644</v>
      </c>
      <c r="D40">
        <v>2022</v>
      </c>
      <c r="E40">
        <v>2018</v>
      </c>
      <c r="F40" s="259">
        <f t="shared" si="0"/>
        <v>1.3371624000000004</v>
      </c>
      <c r="G40" t="s">
        <v>1781</v>
      </c>
      <c r="H40">
        <v>2020</v>
      </c>
      <c r="I40" t="s">
        <v>1783</v>
      </c>
      <c r="J40" t="s">
        <v>2916</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43"/>
      <c r="AF40" s="1043"/>
    </row>
    <row r="41" spans="1:32" x14ac:dyDescent="0.25">
      <c r="A41" t="s">
        <v>1870</v>
      </c>
      <c r="B41" t="s">
        <v>95</v>
      </c>
      <c r="C41" t="s">
        <v>1644</v>
      </c>
      <c r="D41">
        <v>2022</v>
      </c>
      <c r="E41">
        <v>2018</v>
      </c>
      <c r="F41" s="259">
        <f t="shared" si="0"/>
        <v>1.3371624000000004</v>
      </c>
      <c r="G41" t="s">
        <v>1781</v>
      </c>
      <c r="H41">
        <v>2020</v>
      </c>
      <c r="I41" t="s">
        <v>1783</v>
      </c>
      <c r="J41" t="s">
        <v>2916</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43"/>
      <c r="AF41" s="1043"/>
    </row>
    <row r="42" spans="1:32" x14ac:dyDescent="0.25">
      <c r="A42" t="s">
        <v>1870</v>
      </c>
      <c r="B42" t="s">
        <v>95</v>
      </c>
      <c r="C42" t="s">
        <v>1644</v>
      </c>
      <c r="D42">
        <v>2022</v>
      </c>
      <c r="E42">
        <v>2018</v>
      </c>
      <c r="F42" s="259">
        <f t="shared" ref="F42:F65" si="11">USD2018_to_CAD2020</f>
        <v>1.3371624000000004</v>
      </c>
      <c r="G42" t="s">
        <v>1781</v>
      </c>
      <c r="H42">
        <v>2020</v>
      </c>
      <c r="I42" t="s">
        <v>1783</v>
      </c>
      <c r="J42" t="s">
        <v>2916</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43"/>
      <c r="AF42" s="1043"/>
    </row>
    <row r="43" spans="1:32" x14ac:dyDescent="0.25">
      <c r="A43" t="s">
        <v>1870</v>
      </c>
      <c r="B43" t="s">
        <v>95</v>
      </c>
      <c r="C43" t="s">
        <v>1644</v>
      </c>
      <c r="D43">
        <v>2022</v>
      </c>
      <c r="E43">
        <v>2018</v>
      </c>
      <c r="F43" s="259">
        <f t="shared" si="11"/>
        <v>1.3371624000000004</v>
      </c>
      <c r="G43" t="s">
        <v>1781</v>
      </c>
      <c r="H43">
        <v>2020</v>
      </c>
      <c r="I43" t="s">
        <v>1783</v>
      </c>
      <c r="J43" t="s">
        <v>2916</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43"/>
      <c r="AF43" s="1043"/>
    </row>
    <row r="44" spans="1:32" x14ac:dyDescent="0.25">
      <c r="A44" t="s">
        <v>1870</v>
      </c>
      <c r="B44" t="s">
        <v>95</v>
      </c>
      <c r="C44" t="s">
        <v>1644</v>
      </c>
      <c r="D44">
        <v>2022</v>
      </c>
      <c r="E44">
        <v>2018</v>
      </c>
      <c r="F44" s="259">
        <f t="shared" si="11"/>
        <v>1.3371624000000004</v>
      </c>
      <c r="G44" t="s">
        <v>1781</v>
      </c>
      <c r="H44">
        <v>2020</v>
      </c>
      <c r="I44" t="s">
        <v>1783</v>
      </c>
      <c r="J44" t="s">
        <v>2916</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43"/>
      <c r="AF44" s="1043"/>
    </row>
    <row r="45" spans="1:32" x14ac:dyDescent="0.25">
      <c r="A45" t="s">
        <v>1871</v>
      </c>
      <c r="B45" t="s">
        <v>95</v>
      </c>
      <c r="C45" t="s">
        <v>1644</v>
      </c>
      <c r="D45">
        <v>2022</v>
      </c>
      <c r="E45">
        <v>2018</v>
      </c>
      <c r="F45" s="259">
        <f t="shared" si="11"/>
        <v>1.3371624000000004</v>
      </c>
      <c r="G45" t="s">
        <v>1781</v>
      </c>
      <c r="H45">
        <v>2020</v>
      </c>
      <c r="I45" t="s">
        <v>1783</v>
      </c>
      <c r="J45" t="s">
        <v>2916</v>
      </c>
      <c r="K45" s="336">
        <v>2021</v>
      </c>
      <c r="O45" s="80"/>
      <c r="P45" s="325"/>
      <c r="Q45" s="80">
        <f>'OEO &amp; EPAUS9rT Data'!S$94*USD2018_to_CAD2020</f>
        <v>2.4603788160000009</v>
      </c>
      <c r="X45" s="54" t="s">
        <v>1911</v>
      </c>
      <c r="Y45" s="377">
        <v>3</v>
      </c>
      <c r="Z45" s="377">
        <v>1</v>
      </c>
      <c r="AA45" s="377">
        <v>1</v>
      </c>
      <c r="AB45" s="377">
        <v>3</v>
      </c>
      <c r="AC45" s="377">
        <v>1</v>
      </c>
      <c r="AD45" s="1043"/>
      <c r="AF45" s="1043"/>
    </row>
    <row r="46" spans="1:32" x14ac:dyDescent="0.25">
      <c r="A46" t="s">
        <v>1871</v>
      </c>
      <c r="B46" t="s">
        <v>95</v>
      </c>
      <c r="C46" t="s">
        <v>1644</v>
      </c>
      <c r="D46">
        <v>2022</v>
      </c>
      <c r="E46">
        <v>2018</v>
      </c>
      <c r="F46" s="259">
        <f t="shared" si="11"/>
        <v>1.3371624000000004</v>
      </c>
      <c r="G46" t="s">
        <v>1781</v>
      </c>
      <c r="H46">
        <v>2020</v>
      </c>
      <c r="I46" t="s">
        <v>1783</v>
      </c>
      <c r="J46" t="s">
        <v>2916</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43"/>
      <c r="AF46" s="1043"/>
    </row>
    <row r="47" spans="1:32" x14ac:dyDescent="0.25">
      <c r="A47" t="s">
        <v>1871</v>
      </c>
      <c r="B47" t="s">
        <v>95</v>
      </c>
      <c r="C47" t="s">
        <v>1644</v>
      </c>
      <c r="D47">
        <v>2022</v>
      </c>
      <c r="E47">
        <v>2018</v>
      </c>
      <c r="F47" s="259">
        <f t="shared" si="11"/>
        <v>1.3371624000000004</v>
      </c>
      <c r="G47" t="s">
        <v>1781</v>
      </c>
      <c r="H47">
        <v>2020</v>
      </c>
      <c r="I47" t="s">
        <v>1783</v>
      </c>
      <c r="J47" t="s">
        <v>2916</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43"/>
      <c r="AF47" s="1043"/>
    </row>
    <row r="48" spans="1:32" x14ac:dyDescent="0.25">
      <c r="A48" t="s">
        <v>1871</v>
      </c>
      <c r="B48" t="s">
        <v>95</v>
      </c>
      <c r="C48" t="s">
        <v>1644</v>
      </c>
      <c r="D48">
        <v>2022</v>
      </c>
      <c r="E48">
        <v>2018</v>
      </c>
      <c r="F48" s="259">
        <f t="shared" si="11"/>
        <v>1.3371624000000004</v>
      </c>
      <c r="G48" t="s">
        <v>1781</v>
      </c>
      <c r="H48">
        <v>2020</v>
      </c>
      <c r="I48" t="s">
        <v>1783</v>
      </c>
      <c r="J48" t="s">
        <v>2916</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43"/>
      <c r="AF48" s="1043"/>
    </row>
    <row r="49" spans="1:32" x14ac:dyDescent="0.25">
      <c r="A49" t="s">
        <v>1871</v>
      </c>
      <c r="B49" t="s">
        <v>95</v>
      </c>
      <c r="C49" t="s">
        <v>1644</v>
      </c>
      <c r="D49">
        <v>2022</v>
      </c>
      <c r="E49">
        <v>2018</v>
      </c>
      <c r="F49" s="259">
        <f t="shared" si="11"/>
        <v>1.3371624000000004</v>
      </c>
      <c r="G49" t="s">
        <v>1781</v>
      </c>
      <c r="H49">
        <v>2020</v>
      </c>
      <c r="I49" t="s">
        <v>1783</v>
      </c>
      <c r="J49" t="s">
        <v>2916</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43"/>
      <c r="AF49" s="1043"/>
    </row>
    <row r="50" spans="1:32" x14ac:dyDescent="0.25">
      <c r="A50" t="s">
        <v>1871</v>
      </c>
      <c r="B50" t="s">
        <v>95</v>
      </c>
      <c r="C50" t="s">
        <v>1644</v>
      </c>
      <c r="D50">
        <v>2022</v>
      </c>
      <c r="E50">
        <v>2018</v>
      </c>
      <c r="F50" s="259">
        <f t="shared" si="11"/>
        <v>1.3371624000000004</v>
      </c>
      <c r="G50" t="s">
        <v>1781</v>
      </c>
      <c r="H50">
        <v>2020</v>
      </c>
      <c r="I50" t="s">
        <v>1783</v>
      </c>
      <c r="J50" t="s">
        <v>2916</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43"/>
      <c r="AF50" s="1043"/>
    </row>
    <row r="51" spans="1:32" x14ac:dyDescent="0.25">
      <c r="A51" t="s">
        <v>1871</v>
      </c>
      <c r="B51" t="s">
        <v>95</v>
      </c>
      <c r="C51" t="s">
        <v>1644</v>
      </c>
      <c r="D51">
        <v>2022</v>
      </c>
      <c r="E51">
        <v>2018</v>
      </c>
      <c r="F51" s="259">
        <f t="shared" si="11"/>
        <v>1.3371624000000004</v>
      </c>
      <c r="G51" t="s">
        <v>1781</v>
      </c>
      <c r="H51">
        <v>2020</v>
      </c>
      <c r="I51" t="s">
        <v>1783</v>
      </c>
      <c r="J51" t="s">
        <v>2916</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43"/>
      <c r="AF51" s="1043"/>
    </row>
    <row r="52" spans="1:32" x14ac:dyDescent="0.25">
      <c r="A52" t="s">
        <v>1872</v>
      </c>
      <c r="B52" t="s">
        <v>95</v>
      </c>
      <c r="C52" t="s">
        <v>1644</v>
      </c>
      <c r="D52">
        <v>2022</v>
      </c>
      <c r="E52">
        <v>2018</v>
      </c>
      <c r="F52" s="259">
        <f t="shared" si="11"/>
        <v>1.3371624000000004</v>
      </c>
      <c r="G52" t="s">
        <v>1781</v>
      </c>
      <c r="H52">
        <v>2020</v>
      </c>
      <c r="I52" t="s">
        <v>1783</v>
      </c>
      <c r="J52" t="s">
        <v>2916</v>
      </c>
      <c r="K52" s="336">
        <v>2021</v>
      </c>
      <c r="O52" s="80"/>
      <c r="P52" s="325"/>
      <c r="Q52" s="80">
        <f>'OEO &amp; EPAUS9rT Data'!S$94*USD2018_to_CAD2020</f>
        <v>2.4603788160000009</v>
      </c>
      <c r="X52" s="54" t="s">
        <v>1910</v>
      </c>
      <c r="Y52" s="377">
        <v>3</v>
      </c>
      <c r="Z52" s="377">
        <v>1</v>
      </c>
      <c r="AA52" s="377">
        <v>1</v>
      </c>
      <c r="AB52" s="377">
        <v>3</v>
      </c>
      <c r="AC52" s="377">
        <v>1</v>
      </c>
      <c r="AD52" s="1043"/>
      <c r="AF52" s="1043"/>
    </row>
    <row r="53" spans="1:32" x14ac:dyDescent="0.25">
      <c r="A53" t="s">
        <v>1872</v>
      </c>
      <c r="B53" t="s">
        <v>95</v>
      </c>
      <c r="C53" t="s">
        <v>1644</v>
      </c>
      <c r="D53">
        <v>2022</v>
      </c>
      <c r="E53">
        <v>2018</v>
      </c>
      <c r="F53" s="259">
        <f t="shared" si="11"/>
        <v>1.3371624000000004</v>
      </c>
      <c r="G53" t="s">
        <v>1781</v>
      </c>
      <c r="H53">
        <v>2020</v>
      </c>
      <c r="I53" t="s">
        <v>1783</v>
      </c>
      <c r="J53" t="s">
        <v>2916</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43"/>
      <c r="AF53" s="1043"/>
    </row>
    <row r="54" spans="1:32" x14ac:dyDescent="0.25">
      <c r="A54" t="s">
        <v>1872</v>
      </c>
      <c r="B54" t="s">
        <v>95</v>
      </c>
      <c r="C54" t="s">
        <v>1644</v>
      </c>
      <c r="D54">
        <v>2022</v>
      </c>
      <c r="E54">
        <v>2018</v>
      </c>
      <c r="F54" s="259">
        <f t="shared" si="11"/>
        <v>1.3371624000000004</v>
      </c>
      <c r="G54" t="s">
        <v>1781</v>
      </c>
      <c r="H54">
        <v>2020</v>
      </c>
      <c r="I54" t="s">
        <v>1783</v>
      </c>
      <c r="J54" t="s">
        <v>2916</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43"/>
      <c r="AF54" s="1043"/>
    </row>
    <row r="55" spans="1:32" x14ac:dyDescent="0.25">
      <c r="A55" t="s">
        <v>1872</v>
      </c>
      <c r="B55" t="s">
        <v>95</v>
      </c>
      <c r="C55" t="s">
        <v>1644</v>
      </c>
      <c r="D55">
        <v>2022</v>
      </c>
      <c r="E55">
        <v>2018</v>
      </c>
      <c r="F55" s="259">
        <f t="shared" si="11"/>
        <v>1.3371624000000004</v>
      </c>
      <c r="G55" t="s">
        <v>1781</v>
      </c>
      <c r="H55">
        <v>2020</v>
      </c>
      <c r="I55" t="s">
        <v>1783</v>
      </c>
      <c r="J55" t="s">
        <v>2916</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43"/>
      <c r="AF55" s="1043"/>
    </row>
    <row r="56" spans="1:32" x14ac:dyDescent="0.25">
      <c r="A56" t="s">
        <v>1872</v>
      </c>
      <c r="B56" t="s">
        <v>95</v>
      </c>
      <c r="C56" t="s">
        <v>1644</v>
      </c>
      <c r="D56">
        <v>2022</v>
      </c>
      <c r="E56">
        <v>2018</v>
      </c>
      <c r="F56" s="259">
        <f t="shared" si="11"/>
        <v>1.3371624000000004</v>
      </c>
      <c r="G56" t="s">
        <v>1781</v>
      </c>
      <c r="H56">
        <v>2020</v>
      </c>
      <c r="I56" t="s">
        <v>1783</v>
      </c>
      <c r="J56" t="s">
        <v>2916</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43"/>
      <c r="AF56" s="1043"/>
    </row>
    <row r="57" spans="1:32" x14ac:dyDescent="0.25">
      <c r="A57" t="s">
        <v>1872</v>
      </c>
      <c r="B57" t="s">
        <v>95</v>
      </c>
      <c r="C57" t="s">
        <v>1644</v>
      </c>
      <c r="D57">
        <v>2022</v>
      </c>
      <c r="E57">
        <v>2018</v>
      </c>
      <c r="F57" s="259">
        <f t="shared" si="11"/>
        <v>1.3371624000000004</v>
      </c>
      <c r="G57" t="s">
        <v>1781</v>
      </c>
      <c r="H57">
        <v>2020</v>
      </c>
      <c r="I57" t="s">
        <v>1783</v>
      </c>
      <c r="J57" t="s">
        <v>2916</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43"/>
      <c r="AF57" s="1043"/>
    </row>
    <row r="58" spans="1:32" x14ac:dyDescent="0.25">
      <c r="A58" t="s">
        <v>1872</v>
      </c>
      <c r="B58" t="s">
        <v>95</v>
      </c>
      <c r="C58" t="s">
        <v>1644</v>
      </c>
      <c r="D58">
        <v>2022</v>
      </c>
      <c r="E58">
        <v>2018</v>
      </c>
      <c r="F58" s="259">
        <f t="shared" si="11"/>
        <v>1.3371624000000004</v>
      </c>
      <c r="G58" t="s">
        <v>1781</v>
      </c>
      <c r="H58">
        <v>2020</v>
      </c>
      <c r="I58" t="s">
        <v>1783</v>
      </c>
      <c r="J58" t="s">
        <v>2916</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2882</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2882</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2882</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2882</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2882</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2882</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2882</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4689</v>
      </c>
      <c r="B66" t="s">
        <v>95</v>
      </c>
      <c r="C66" t="s">
        <v>4742</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4743</v>
      </c>
      <c r="Y66" s="377">
        <v>2</v>
      </c>
      <c r="Z66" s="377">
        <v>1</v>
      </c>
      <c r="AA66" s="377">
        <v>1</v>
      </c>
      <c r="AB66" s="377">
        <v>3</v>
      </c>
      <c r="AC66" s="377">
        <v>1</v>
      </c>
    </row>
    <row r="67" spans="1:29" x14ac:dyDescent="0.25">
      <c r="A67" t="s">
        <v>4689</v>
      </c>
      <c r="B67" t="s">
        <v>95</v>
      </c>
      <c r="C67" t="s">
        <v>4742</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4743</v>
      </c>
      <c r="Y67" s="377">
        <v>2</v>
      </c>
      <c r="Z67" s="377">
        <v>1</v>
      </c>
      <c r="AA67" s="377">
        <v>1</v>
      </c>
      <c r="AB67" s="377">
        <v>3</v>
      </c>
      <c r="AC67" s="377">
        <v>1</v>
      </c>
    </row>
    <row r="68" spans="1:29" x14ac:dyDescent="0.25">
      <c r="A68" t="s">
        <v>4689</v>
      </c>
      <c r="B68" t="s">
        <v>95</v>
      </c>
      <c r="C68" t="s">
        <v>4742</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4743</v>
      </c>
      <c r="Y68" s="377">
        <v>2</v>
      </c>
      <c r="Z68" s="377">
        <v>1</v>
      </c>
      <c r="AA68" s="377">
        <v>1</v>
      </c>
      <c r="AB68" s="377">
        <v>3</v>
      </c>
      <c r="AC68" s="377">
        <v>1</v>
      </c>
    </row>
    <row r="69" spans="1:29" x14ac:dyDescent="0.25">
      <c r="A69" t="s">
        <v>4689</v>
      </c>
      <c r="B69" t="s">
        <v>95</v>
      </c>
      <c r="C69" t="s">
        <v>4742</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4743</v>
      </c>
      <c r="Y69" s="377">
        <v>2</v>
      </c>
      <c r="Z69" s="377">
        <v>1</v>
      </c>
      <c r="AA69" s="377">
        <v>1</v>
      </c>
      <c r="AB69" s="377">
        <v>3</v>
      </c>
      <c r="AC69" s="377">
        <v>1</v>
      </c>
    </row>
    <row r="70" spans="1:29" x14ac:dyDescent="0.25">
      <c r="A70" t="s">
        <v>4689</v>
      </c>
      <c r="B70" t="s">
        <v>95</v>
      </c>
      <c r="C70" t="s">
        <v>4742</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4743</v>
      </c>
      <c r="Y70" s="377">
        <v>2</v>
      </c>
      <c r="Z70" s="377">
        <v>1</v>
      </c>
      <c r="AA70" s="377">
        <v>1</v>
      </c>
      <c r="AB70" s="377">
        <v>3</v>
      </c>
      <c r="AC70" s="377">
        <v>1</v>
      </c>
    </row>
    <row r="71" spans="1:29" x14ac:dyDescent="0.25">
      <c r="A71" t="s">
        <v>4689</v>
      </c>
      <c r="B71" t="s">
        <v>95</v>
      </c>
      <c r="C71" t="s">
        <v>4742</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4743</v>
      </c>
      <c r="Y71" s="377">
        <v>2</v>
      </c>
      <c r="Z71" s="377">
        <v>1</v>
      </c>
      <c r="AA71" s="377">
        <v>1</v>
      </c>
      <c r="AB71" s="377">
        <v>3</v>
      </c>
      <c r="AC71" s="377">
        <v>1</v>
      </c>
    </row>
    <row r="72" spans="1:29" x14ac:dyDescent="0.25">
      <c r="A72" t="s">
        <v>4689</v>
      </c>
      <c r="B72" t="s">
        <v>95</v>
      </c>
      <c r="C72" t="s">
        <v>4742</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4743</v>
      </c>
      <c r="Y72" s="377">
        <v>2</v>
      </c>
      <c r="Z72" s="377">
        <v>1</v>
      </c>
      <c r="AA72" s="377">
        <v>1</v>
      </c>
      <c r="AB72" s="377">
        <v>3</v>
      </c>
      <c r="AC72" s="377">
        <v>1</v>
      </c>
    </row>
    <row r="73" spans="1:29" x14ac:dyDescent="0.25">
      <c r="A73" t="s">
        <v>4690</v>
      </c>
      <c r="B73" t="s">
        <v>95</v>
      </c>
      <c r="C73" t="s">
        <v>4742</v>
      </c>
      <c r="D73">
        <v>2023</v>
      </c>
      <c r="E73">
        <v>2021</v>
      </c>
      <c r="F73" s="259">
        <f t="shared" si="12"/>
        <v>1.1642034728406054</v>
      </c>
      <c r="G73" t="s">
        <v>1781</v>
      </c>
      <c r="H73">
        <v>2020</v>
      </c>
      <c r="I73" t="s">
        <v>1783</v>
      </c>
      <c r="J73" t="s">
        <v>2013</v>
      </c>
      <c r="K73" s="336">
        <v>2021</v>
      </c>
      <c r="O73" s="80"/>
      <c r="P73" s="325"/>
      <c r="Q73" s="80">
        <f>'H2 Data'!$U$31</f>
        <v>42.749551522707037</v>
      </c>
      <c r="X73" s="54" t="s">
        <v>4743</v>
      </c>
      <c r="Y73" s="377">
        <v>2</v>
      </c>
      <c r="Z73" s="377">
        <v>1</v>
      </c>
      <c r="AA73" s="377">
        <v>1</v>
      </c>
      <c r="AB73" s="377">
        <v>3</v>
      </c>
      <c r="AC73" s="377">
        <v>1</v>
      </c>
    </row>
    <row r="74" spans="1:29" x14ac:dyDescent="0.25">
      <c r="A74" t="s">
        <v>4690</v>
      </c>
      <c r="B74" t="s">
        <v>95</v>
      </c>
      <c r="C74" t="s">
        <v>4742</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4743</v>
      </c>
      <c r="Y74" s="377">
        <v>2</v>
      </c>
      <c r="Z74" s="377">
        <v>1</v>
      </c>
      <c r="AA74" s="377">
        <v>1</v>
      </c>
      <c r="AB74" s="377">
        <v>3</v>
      </c>
      <c r="AC74" s="377">
        <v>1</v>
      </c>
    </row>
    <row r="75" spans="1:29" x14ac:dyDescent="0.25">
      <c r="A75" t="s">
        <v>4690</v>
      </c>
      <c r="B75" t="s">
        <v>95</v>
      </c>
      <c r="C75" t="s">
        <v>4742</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4743</v>
      </c>
      <c r="Y75" s="377">
        <v>2</v>
      </c>
      <c r="Z75" s="377">
        <v>1</v>
      </c>
      <c r="AA75" s="377">
        <v>1</v>
      </c>
      <c r="AB75" s="377">
        <v>3</v>
      </c>
      <c r="AC75" s="377">
        <v>1</v>
      </c>
    </row>
    <row r="76" spans="1:29" x14ac:dyDescent="0.25">
      <c r="A76" t="s">
        <v>4690</v>
      </c>
      <c r="B76" t="s">
        <v>95</v>
      </c>
      <c r="C76" t="s">
        <v>4742</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4743</v>
      </c>
      <c r="Y76" s="377">
        <v>2</v>
      </c>
      <c r="Z76" s="377">
        <v>1</v>
      </c>
      <c r="AA76" s="377">
        <v>1</v>
      </c>
      <c r="AB76" s="377">
        <v>3</v>
      </c>
      <c r="AC76" s="377">
        <v>1</v>
      </c>
    </row>
    <row r="77" spans="1:29" x14ac:dyDescent="0.25">
      <c r="A77" t="s">
        <v>4690</v>
      </c>
      <c r="B77" t="s">
        <v>95</v>
      </c>
      <c r="C77" t="s">
        <v>4742</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4743</v>
      </c>
      <c r="Y77" s="377">
        <v>2</v>
      </c>
      <c r="Z77" s="377">
        <v>1</v>
      </c>
      <c r="AA77" s="377">
        <v>1</v>
      </c>
      <c r="AB77" s="377">
        <v>3</v>
      </c>
      <c r="AC77" s="377">
        <v>1</v>
      </c>
    </row>
    <row r="78" spans="1:29" x14ac:dyDescent="0.25">
      <c r="A78" t="s">
        <v>4690</v>
      </c>
      <c r="B78" t="s">
        <v>95</v>
      </c>
      <c r="C78" t="s">
        <v>4742</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4743</v>
      </c>
      <c r="Y78" s="377">
        <v>2</v>
      </c>
      <c r="Z78" s="377">
        <v>1</v>
      </c>
      <c r="AA78" s="377">
        <v>1</v>
      </c>
      <c r="AB78" s="377">
        <v>3</v>
      </c>
      <c r="AC78" s="377">
        <v>1</v>
      </c>
    </row>
    <row r="79" spans="1:29" x14ac:dyDescent="0.25">
      <c r="A79" t="s">
        <v>4690</v>
      </c>
      <c r="B79" t="s">
        <v>95</v>
      </c>
      <c r="C79" t="s">
        <v>4742</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4743</v>
      </c>
      <c r="Y79" s="377">
        <v>2</v>
      </c>
      <c r="Z79" s="377">
        <v>1</v>
      </c>
      <c r="AA79" s="377">
        <v>1</v>
      </c>
      <c r="AB79" s="377">
        <v>3</v>
      </c>
      <c r="AC79" s="377">
        <v>1</v>
      </c>
    </row>
    <row r="80" spans="1:29" x14ac:dyDescent="0.25">
      <c r="A80" t="s">
        <v>2884</v>
      </c>
      <c r="B80" t="s">
        <v>95</v>
      </c>
      <c r="C80" t="s">
        <v>4742</v>
      </c>
      <c r="D80">
        <v>2023</v>
      </c>
      <c r="E80">
        <v>2021</v>
      </c>
      <c r="F80" s="259">
        <f t="shared" si="12"/>
        <v>1.1642034728406054</v>
      </c>
      <c r="G80" t="s">
        <v>1781</v>
      </c>
      <c r="H80">
        <v>2020</v>
      </c>
      <c r="I80" t="s">
        <v>1783</v>
      </c>
      <c r="J80" t="s">
        <v>2013</v>
      </c>
      <c r="K80" s="336">
        <v>2021</v>
      </c>
      <c r="O80" s="80"/>
      <c r="P80" s="325"/>
      <c r="Q80" s="80">
        <f>'H2 Data'!$U$25</f>
        <v>30.066486048886908</v>
      </c>
      <c r="X80" s="54" t="s">
        <v>4743</v>
      </c>
      <c r="Y80" s="377">
        <v>2</v>
      </c>
      <c r="Z80" s="377">
        <v>1</v>
      </c>
      <c r="AA80" s="377">
        <v>1</v>
      </c>
      <c r="AB80" s="377">
        <v>3</v>
      </c>
      <c r="AC80" s="377">
        <v>1</v>
      </c>
    </row>
    <row r="81" spans="1:29" x14ac:dyDescent="0.25">
      <c r="A81" t="s">
        <v>2884</v>
      </c>
      <c r="B81" t="s">
        <v>95</v>
      </c>
      <c r="C81" t="s">
        <v>4742</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4743</v>
      </c>
      <c r="Y81" s="377">
        <v>2</v>
      </c>
      <c r="Z81" s="377">
        <v>1</v>
      </c>
      <c r="AA81" s="377">
        <v>1</v>
      </c>
      <c r="AB81" s="377">
        <v>3</v>
      </c>
      <c r="AC81" s="377">
        <v>1</v>
      </c>
    </row>
    <row r="82" spans="1:29" x14ac:dyDescent="0.25">
      <c r="A82" t="s">
        <v>2884</v>
      </c>
      <c r="B82" t="s">
        <v>95</v>
      </c>
      <c r="C82" t="s">
        <v>4742</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4743</v>
      </c>
      <c r="Y82" s="377">
        <v>2</v>
      </c>
      <c r="Z82" s="377">
        <v>1</v>
      </c>
      <c r="AA82" s="377">
        <v>1</v>
      </c>
      <c r="AB82" s="377">
        <v>3</v>
      </c>
      <c r="AC82" s="377">
        <v>1</v>
      </c>
    </row>
    <row r="83" spans="1:29" x14ac:dyDescent="0.25">
      <c r="A83" t="s">
        <v>2884</v>
      </c>
      <c r="B83" t="s">
        <v>95</v>
      </c>
      <c r="C83" t="s">
        <v>4742</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4743</v>
      </c>
      <c r="Y83" s="377">
        <v>2</v>
      </c>
      <c r="Z83" s="377">
        <v>1</v>
      </c>
      <c r="AA83" s="377">
        <v>1</v>
      </c>
      <c r="AB83" s="377">
        <v>3</v>
      </c>
      <c r="AC83" s="377">
        <v>1</v>
      </c>
    </row>
    <row r="84" spans="1:29" x14ac:dyDescent="0.25">
      <c r="A84" t="s">
        <v>2884</v>
      </c>
      <c r="B84" t="s">
        <v>95</v>
      </c>
      <c r="C84" t="s">
        <v>4742</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4743</v>
      </c>
      <c r="Y84" s="377">
        <v>2</v>
      </c>
      <c r="Z84" s="377">
        <v>1</v>
      </c>
      <c r="AA84" s="377">
        <v>1</v>
      </c>
      <c r="AB84" s="377">
        <v>3</v>
      </c>
      <c r="AC84" s="377">
        <v>1</v>
      </c>
    </row>
    <row r="85" spans="1:29" x14ac:dyDescent="0.25">
      <c r="A85" t="s">
        <v>2884</v>
      </c>
      <c r="B85" t="s">
        <v>95</v>
      </c>
      <c r="C85" t="s">
        <v>4742</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4743</v>
      </c>
      <c r="Y85" s="377">
        <v>2</v>
      </c>
      <c r="Z85" s="377">
        <v>1</v>
      </c>
      <c r="AA85" s="377">
        <v>1</v>
      </c>
      <c r="AB85" s="377">
        <v>3</v>
      </c>
      <c r="AC85" s="377">
        <v>1</v>
      </c>
    </row>
    <row r="86" spans="1:29" x14ac:dyDescent="0.25">
      <c r="A86" t="s">
        <v>2884</v>
      </c>
      <c r="B86" t="s">
        <v>95</v>
      </c>
      <c r="C86" t="s">
        <v>4742</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4743</v>
      </c>
      <c r="Y86" s="377">
        <v>2</v>
      </c>
      <c r="Z86" s="377">
        <v>1</v>
      </c>
      <c r="AA86" s="377">
        <v>1</v>
      </c>
      <c r="AB86" s="377">
        <v>3</v>
      </c>
      <c r="AC86" s="377">
        <v>1</v>
      </c>
    </row>
    <row r="87" spans="1:29" x14ac:dyDescent="0.25">
      <c r="A87" t="s">
        <v>4693</v>
      </c>
      <c r="B87" t="s">
        <v>95</v>
      </c>
      <c r="C87" t="s">
        <v>4742</v>
      </c>
      <c r="D87">
        <v>2023</v>
      </c>
      <c r="E87">
        <v>2021</v>
      </c>
      <c r="F87" s="259">
        <f t="shared" si="12"/>
        <v>1.1642034728406054</v>
      </c>
      <c r="G87" t="s">
        <v>1781</v>
      </c>
      <c r="H87">
        <v>2020</v>
      </c>
      <c r="I87" t="s">
        <v>1783</v>
      </c>
      <c r="J87" t="s">
        <v>2013</v>
      </c>
      <c r="K87" s="336">
        <v>2021</v>
      </c>
      <c r="O87" s="80"/>
      <c r="P87" s="325"/>
      <c r="Q87" s="80">
        <f>'H2 Data'!$U$26</f>
        <v>49.865512409750657</v>
      </c>
      <c r="X87" s="54" t="s">
        <v>4743</v>
      </c>
      <c r="Y87" s="377">
        <v>2</v>
      </c>
      <c r="Z87" s="377">
        <v>1</v>
      </c>
      <c r="AA87" s="377">
        <v>1</v>
      </c>
      <c r="AB87" s="377">
        <v>3</v>
      </c>
      <c r="AC87" s="377">
        <v>1</v>
      </c>
    </row>
    <row r="88" spans="1:29" x14ac:dyDescent="0.25">
      <c r="A88" t="s">
        <v>4693</v>
      </c>
      <c r="B88" t="s">
        <v>95</v>
      </c>
      <c r="C88" t="s">
        <v>4742</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4743</v>
      </c>
      <c r="Y88" s="377">
        <v>2</v>
      </c>
      <c r="Z88" s="377">
        <v>1</v>
      </c>
      <c r="AA88" s="377">
        <v>1</v>
      </c>
      <c r="AB88" s="377">
        <v>3</v>
      </c>
      <c r="AC88" s="377">
        <v>1</v>
      </c>
    </row>
    <row r="89" spans="1:29" x14ac:dyDescent="0.25">
      <c r="A89" t="s">
        <v>4693</v>
      </c>
      <c r="B89" t="s">
        <v>95</v>
      </c>
      <c r="C89" t="s">
        <v>4742</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4743</v>
      </c>
      <c r="Y89" s="377">
        <v>2</v>
      </c>
      <c r="Z89" s="377">
        <v>1</v>
      </c>
      <c r="AA89" s="377">
        <v>1</v>
      </c>
      <c r="AB89" s="377">
        <v>3</v>
      </c>
      <c r="AC89" s="377">
        <v>1</v>
      </c>
    </row>
    <row r="90" spans="1:29" x14ac:dyDescent="0.25">
      <c r="A90" t="s">
        <v>4693</v>
      </c>
      <c r="B90" t="s">
        <v>95</v>
      </c>
      <c r="C90" t="s">
        <v>4742</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4743</v>
      </c>
      <c r="Y90" s="377">
        <v>2</v>
      </c>
      <c r="Z90" s="377">
        <v>1</v>
      </c>
      <c r="AA90" s="377">
        <v>1</v>
      </c>
      <c r="AB90" s="377">
        <v>3</v>
      </c>
      <c r="AC90" s="377">
        <v>1</v>
      </c>
    </row>
    <row r="91" spans="1:29" x14ac:dyDescent="0.25">
      <c r="A91" t="s">
        <v>4693</v>
      </c>
      <c r="B91" t="s">
        <v>95</v>
      </c>
      <c r="C91" t="s">
        <v>4742</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4743</v>
      </c>
      <c r="Y91" s="377">
        <v>2</v>
      </c>
      <c r="Z91" s="377">
        <v>1</v>
      </c>
      <c r="AA91" s="377">
        <v>1</v>
      </c>
      <c r="AB91" s="377">
        <v>3</v>
      </c>
      <c r="AC91" s="377">
        <v>1</v>
      </c>
    </row>
    <row r="92" spans="1:29" x14ac:dyDescent="0.25">
      <c r="A92" t="s">
        <v>4693</v>
      </c>
      <c r="B92" t="s">
        <v>95</v>
      </c>
      <c r="C92" t="s">
        <v>4742</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4743</v>
      </c>
      <c r="Y92" s="377">
        <v>2</v>
      </c>
      <c r="Z92" s="377">
        <v>1</v>
      </c>
      <c r="AA92" s="377">
        <v>1</v>
      </c>
      <c r="AB92" s="377">
        <v>3</v>
      </c>
      <c r="AC92" s="377">
        <v>1</v>
      </c>
    </row>
    <row r="93" spans="1:29" x14ac:dyDescent="0.25">
      <c r="A93" t="s">
        <v>4693</v>
      </c>
      <c r="B93" t="s">
        <v>95</v>
      </c>
      <c r="C93" t="s">
        <v>4742</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4743</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A427"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2640</v>
      </c>
      <c r="AF1" s="1043" t="s">
        <v>2641</v>
      </c>
      <c r="AG1" s="1036" t="s">
        <v>2144</v>
      </c>
      <c r="AH1" s="1036"/>
      <c r="AI1" s="1036"/>
      <c r="AJ1" s="1036"/>
      <c r="AK1" s="1036"/>
      <c r="AL1" s="1036"/>
      <c r="AM1" s="1036"/>
      <c r="AN1" s="1036"/>
      <c r="AO1" s="1036"/>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4432</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43"/>
      <c r="AF3" s="1043"/>
      <c r="AG3">
        <v>0</v>
      </c>
      <c r="AH3" s="13">
        <v>15922</v>
      </c>
      <c r="AI3" s="13">
        <v>16234</v>
      </c>
      <c r="AJ3" s="13">
        <v>18964</v>
      </c>
      <c r="AK3" s="13">
        <v>13843</v>
      </c>
      <c r="AL3" s="13">
        <v>15962</v>
      </c>
      <c r="AM3" s="13">
        <v>17071</v>
      </c>
      <c r="AN3" s="13">
        <v>17276</v>
      </c>
      <c r="AO3" s="13">
        <v>18872</v>
      </c>
      <c r="AR3" s="28" t="s">
        <v>1515</v>
      </c>
      <c r="BH3" s="28" t="s">
        <v>1529</v>
      </c>
    </row>
    <row r="4" spans="1:68" x14ac:dyDescent="0.25">
      <c r="A4" t="s">
        <v>4432</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43"/>
      <c r="AF4" s="1043"/>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4432</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43"/>
      <c r="AF5" s="1043"/>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4433</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43"/>
      <c r="AF6" s="1043"/>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4433</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43"/>
      <c r="AF7" s="1043"/>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4433</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43"/>
      <c r="AF8" s="1043"/>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4434</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43"/>
      <c r="AF9" s="1043"/>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4434</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43"/>
      <c r="AF10" s="1043"/>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4434</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43"/>
      <c r="AF11" s="1043"/>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4435</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43"/>
      <c r="AF12" s="1043"/>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4435</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43"/>
      <c r="AF13" s="1043"/>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4435</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43"/>
      <c r="AF14" s="1043"/>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4436</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43"/>
      <c r="AF15" s="1043"/>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4436</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43"/>
      <c r="AF16" s="1043"/>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4436</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43"/>
      <c r="AF17" s="1043"/>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4437</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43"/>
      <c r="AF18" s="1043"/>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4437</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43"/>
      <c r="AF19" s="1043"/>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4437</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43"/>
      <c r="AF20" s="1043"/>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4437</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43"/>
      <c r="AF21" s="1043"/>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4438</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43"/>
      <c r="AF22" s="1043"/>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4438</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43"/>
      <c r="AF23" s="1043"/>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4438</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43"/>
      <c r="AF24" s="1043"/>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4438</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43"/>
      <c r="AF25" s="1043"/>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4439</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43"/>
      <c r="AF26" s="1043"/>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4439</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43"/>
      <c r="AF27" s="1043"/>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4439</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43"/>
      <c r="AF28" s="1043"/>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4439</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43"/>
      <c r="AF29" s="1043"/>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4440</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43"/>
      <c r="AF30" s="1043"/>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4440</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43"/>
      <c r="AF31" s="1043"/>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4440</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43"/>
      <c r="AF32" s="1043"/>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4440</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43"/>
      <c r="AF33" s="1043"/>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4441</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43"/>
      <c r="AF34" s="1043"/>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4441</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43"/>
      <c r="AF35" s="1043"/>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4441</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43"/>
      <c r="AF36" s="1043"/>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4441</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43"/>
      <c r="AF37" s="1043"/>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4442</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43"/>
      <c r="AF38" s="1043"/>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4442</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43"/>
      <c r="AF39" s="1043"/>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4442</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43"/>
      <c r="AF40" s="1043"/>
      <c r="AG40" s="1036" t="s">
        <v>2145</v>
      </c>
      <c r="AH40" s="1036"/>
      <c r="AI40" s="1036"/>
      <c r="AJ40" s="1036"/>
      <c r="AK40" s="1036"/>
      <c r="AL40" s="1036"/>
      <c r="AM40" s="1036"/>
      <c r="AN40" s="1036"/>
      <c r="AO40" s="1036"/>
      <c r="AP40" s="1036"/>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4442</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43"/>
      <c r="AF41" s="1043"/>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4443</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43"/>
      <c r="AF42" s="1043"/>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4443</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43"/>
      <c r="AF43" s="1043"/>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4443</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43"/>
      <c r="AF44" s="1043"/>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4443</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43"/>
      <c r="AF45" s="1043"/>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4444</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43"/>
      <c r="AF46" s="1043"/>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4444</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43"/>
      <c r="AF47" s="1043"/>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4444</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43"/>
      <c r="AF48" s="1043"/>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4444</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43"/>
      <c r="AF49" s="1043"/>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4445</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43"/>
      <c r="AF50" s="1043"/>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4445</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4445</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4445</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4446</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4446</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4446</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4446</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4447</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4447</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4447</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4447</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4448</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4448</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4448</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4448</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4449</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4449</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4449</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4449</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4450</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4450</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4450</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4451</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4451</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4451</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4452</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4452</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4452</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4453</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4453</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4453</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4454</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4454</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4454</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4455</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4455</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4455</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4456</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4456</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4456</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4457</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4457</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4457</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4458</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4458</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4458</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4459</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4459</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4459</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4459</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4459</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4460</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4460</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2" t="s">
        <v>2151</v>
      </c>
      <c r="AH103" s="1093"/>
      <c r="AI103" s="1093"/>
      <c r="AJ103" s="1093"/>
      <c r="AK103" s="1093"/>
      <c r="AL103" s="1093"/>
      <c r="AM103" s="1093"/>
      <c r="AN103" s="1094"/>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4460</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4460</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4460</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4487</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4487</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4487</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105" t="s">
        <v>1676</v>
      </c>
      <c r="AL109" s="1105"/>
      <c r="AM109" s="1105"/>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4487</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105"/>
      <c r="AL110" s="1105"/>
      <c r="AM110" s="1105"/>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4487</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105"/>
      <c r="AL111" s="1105"/>
      <c r="AM111" s="1105"/>
      <c r="AN111" s="63"/>
      <c r="AS111" s="1092" t="s">
        <v>2153</v>
      </c>
      <c r="AT111" s="1093"/>
      <c r="AU111" s="1093"/>
      <c r="AV111" s="1093"/>
      <c r="AW111" s="1093"/>
      <c r="AX111" s="1093"/>
      <c r="AY111" s="1093"/>
      <c r="AZ111" s="1093"/>
      <c r="BA111" s="1093"/>
      <c r="BB111" s="1093"/>
      <c r="BC111" s="1093"/>
      <c r="BD111" s="1093"/>
      <c r="BE111" s="1093"/>
      <c r="BF111" s="1094"/>
      <c r="BI111" s="28" t="s">
        <v>1530</v>
      </c>
    </row>
    <row r="112" spans="1:68" ht="15.75" x14ac:dyDescent="0.25">
      <c r="A112" t="s">
        <v>4487</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4488</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4488</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4488</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4488</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4488</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4488</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4461</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4461</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4461</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4461</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4461</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4461</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4462</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4462</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4462</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4462</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4462</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4462</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2" t="s">
        <v>2154</v>
      </c>
      <c r="BJ132" s="1093"/>
      <c r="BK132" s="1093"/>
      <c r="BL132" s="1093"/>
      <c r="BM132" s="1093"/>
      <c r="BN132" s="1093"/>
      <c r="BO132" s="1093"/>
      <c r="BP132" s="1093"/>
      <c r="BQ132" s="1094"/>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2" t="s">
        <v>2152</v>
      </c>
      <c r="AH138" s="1093"/>
      <c r="AI138" s="1093"/>
      <c r="AJ138" s="1093"/>
      <c r="AK138" s="1093"/>
      <c r="AL138" s="1093"/>
      <c r="AM138" s="1093"/>
      <c r="AN138" s="1094"/>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2" t="s">
        <v>2875</v>
      </c>
      <c r="AH145" s="1093"/>
      <c r="AI145" s="1093"/>
      <c r="AJ145" s="1093"/>
      <c r="AK145" s="1093"/>
      <c r="AL145" s="1093"/>
      <c r="AM145" s="1093"/>
      <c r="AN145" s="1093"/>
      <c r="AO145" s="1093"/>
      <c r="AP145" s="1093"/>
      <c r="AQ145" s="1093"/>
      <c r="AR145" s="1093"/>
      <c r="AS145" s="1093"/>
      <c r="AT145" s="1093"/>
      <c r="AU145" s="1093"/>
      <c r="AV145" s="1094"/>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2836</v>
      </c>
      <c r="AL146" s="765" t="s">
        <v>2876</v>
      </c>
      <c r="AR146" s="765" t="s">
        <v>2870</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2859</v>
      </c>
      <c r="AL147" s="88" t="s">
        <v>225</v>
      </c>
      <c r="AM147" s="88">
        <v>2019</v>
      </c>
      <c r="AN147" s="88">
        <v>2022</v>
      </c>
      <c r="AO147" s="83" t="s">
        <v>2859</v>
      </c>
      <c r="AR147" s="88" t="s">
        <v>225</v>
      </c>
      <c r="AS147" s="88" t="s">
        <v>2873</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2872</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2830</v>
      </c>
      <c r="AH150" s="558">
        <f>'Fuel Prices'!$C$47/DSL_PJ_ML</f>
        <v>18.694180370141009</v>
      </c>
      <c r="AI150" s="558">
        <f>'Fuel Prices'!$C$50/DSL_PJ_ML</f>
        <v>34.575130782010156</v>
      </c>
      <c r="AJ150" s="558">
        <f>AVERAGE('Fuel Prices'!$C$40:$C$50)/DSL_PJ_ML</f>
        <v>20.206919171761324</v>
      </c>
      <c r="AL150" t="s">
        <v>2831</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2864</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2831</v>
      </c>
      <c r="AH152" s="558">
        <f>'Fuel Prices'!$E$47/HDRD_GJ_L</f>
        <v>42.279124147453189</v>
      </c>
      <c r="AI152" s="558">
        <f>'Fuel Prices'!$E$50/HDRD_GJ_L</f>
        <v>68.872414609132932</v>
      </c>
      <c r="AJ152" s="785">
        <f>AVERAGE('Fuel Prices'!$E$40:$E$50)/HDRD_GJ_L</f>
        <v>41.517967726916218</v>
      </c>
      <c r="AR152" s="88" t="s">
        <v>225</v>
      </c>
      <c r="AS152" s="88" t="s">
        <v>2871</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2865</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2860</v>
      </c>
      <c r="AR154" t="s">
        <v>2866</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2861</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4390</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2863</v>
      </c>
      <c r="AI159" s="206"/>
      <c r="AV159" s="63"/>
    </row>
    <row r="160" spans="1:69" x14ac:dyDescent="0.25">
      <c r="A160" t="s">
        <v>4390</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4390</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2973</v>
      </c>
      <c r="AV161" s="63"/>
    </row>
    <row r="162" spans="1:51" ht="15.75" thickBot="1" x14ac:dyDescent="0.3">
      <c r="A162" t="s">
        <v>4390</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4390</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4390</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4390</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2861</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2863</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2969</v>
      </c>
      <c r="AP168" s="28" t="s">
        <v>2874</v>
      </c>
      <c r="AV168" s="63"/>
      <c r="AX168" s="61" t="s">
        <v>2983</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4395</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2821</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2821</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4395</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2822</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2822</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4395</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2816</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2816</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4395</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4395</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4395</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2976</v>
      </c>
      <c r="AP178" s="28" t="s">
        <v>2977</v>
      </c>
      <c r="AV178" s="63"/>
    </row>
    <row r="179" spans="1:51" ht="15.75" thickBot="1" x14ac:dyDescent="0.3">
      <c r="A179" t="s">
        <v>4395</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2960</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2961</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2960</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2961</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2821</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2960</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2961</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2821</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2975</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2970</v>
      </c>
      <c r="AP191" s="28" t="s">
        <v>2874</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2203</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2982</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2869</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2868</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4420</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4420</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4420</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4420</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4420</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4420</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4420</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4391</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4391</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4391</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4391</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4391</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4391</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4391</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4396</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4396</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4396</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4396</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4396</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4396</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4396</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4421</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4421</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4421</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4421</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4421</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4421</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4421</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4392</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4392</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4392</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4392</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4392</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4392</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4392</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4397</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4397</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4397</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4397</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4397</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4397</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4397</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4422</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4422</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4422</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4422</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4422</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4422</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4422</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2980</v>
      </c>
      <c r="D692">
        <v>2023</v>
      </c>
      <c r="E692">
        <v>2022</v>
      </c>
      <c r="F692" t="s">
        <v>1783</v>
      </c>
      <c r="G692" s="259">
        <f>CAD2022_to_2020</f>
        <v>0.86269644334160445</v>
      </c>
      <c r="H692">
        <v>2020</v>
      </c>
      <c r="I692" t="s">
        <v>1783</v>
      </c>
      <c r="J692" t="s">
        <v>1849</v>
      </c>
      <c r="K692" s="336">
        <v>2021</v>
      </c>
      <c r="Q692" s="80">
        <f>$AI$164</f>
        <v>31.117460711331674</v>
      </c>
      <c r="S692" s="80"/>
      <c r="X692" s="54" t="s">
        <v>2981</v>
      </c>
      <c r="Y692" s="377">
        <v>1</v>
      </c>
      <c r="Z692" s="377">
        <v>1</v>
      </c>
      <c r="AA692" s="377">
        <v>1</v>
      </c>
      <c r="AB692" s="377">
        <v>1</v>
      </c>
      <c r="AC692" s="377">
        <v>1</v>
      </c>
    </row>
    <row r="693" spans="1:29" x14ac:dyDescent="0.25">
      <c r="A693" t="s">
        <v>2067</v>
      </c>
      <c r="B693" t="s">
        <v>95</v>
      </c>
      <c r="C693" t="s">
        <v>2979</v>
      </c>
      <c r="D693">
        <v>2023</v>
      </c>
      <c r="E693">
        <v>2020</v>
      </c>
      <c r="F693" t="s">
        <v>1783</v>
      </c>
      <c r="G693" s="259">
        <v>1</v>
      </c>
      <c r="H693">
        <v>2020</v>
      </c>
      <c r="I693" t="s">
        <v>1783</v>
      </c>
      <c r="J693" t="s">
        <v>1849</v>
      </c>
      <c r="K693" s="336">
        <v>2025</v>
      </c>
      <c r="Q693" s="80">
        <f t="shared" ref="Q693:Q698" si="105">$Q$692*AX180</f>
        <v>23.651393150621384</v>
      </c>
      <c r="S693" s="80"/>
      <c r="X693" s="54" t="s">
        <v>2984</v>
      </c>
      <c r="Y693" s="377">
        <v>2</v>
      </c>
      <c r="Z693" s="377">
        <v>1</v>
      </c>
      <c r="AA693" s="377">
        <v>1</v>
      </c>
      <c r="AB693" s="377">
        <v>3</v>
      </c>
      <c r="AC693" s="377">
        <v>1</v>
      </c>
    </row>
    <row r="694" spans="1:29" x14ac:dyDescent="0.25">
      <c r="A694" t="s">
        <v>2067</v>
      </c>
      <c r="B694" t="s">
        <v>95</v>
      </c>
      <c r="C694" t="s">
        <v>2979</v>
      </c>
      <c r="D694">
        <v>2023</v>
      </c>
      <c r="E694">
        <v>2020</v>
      </c>
      <c r="F694" t="s">
        <v>1783</v>
      </c>
      <c r="G694" s="259">
        <v>1</v>
      </c>
      <c r="H694">
        <v>2020</v>
      </c>
      <c r="I694" t="s">
        <v>1783</v>
      </c>
      <c r="J694" t="s">
        <v>1849</v>
      </c>
      <c r="K694" s="336">
        <v>2030</v>
      </c>
      <c r="Q694" s="80">
        <f t="shared" si="105"/>
        <v>21.637826450457975</v>
      </c>
      <c r="S694" s="80"/>
      <c r="X694" s="54" t="s">
        <v>2984</v>
      </c>
      <c r="Y694" s="377">
        <v>2</v>
      </c>
      <c r="Z694" s="377">
        <v>1</v>
      </c>
      <c r="AA694" s="377">
        <v>1</v>
      </c>
      <c r="AB694" s="377">
        <v>3</v>
      </c>
      <c r="AC694" s="377">
        <v>1</v>
      </c>
    </row>
    <row r="695" spans="1:29" x14ac:dyDescent="0.25">
      <c r="A695" t="s">
        <v>2067</v>
      </c>
      <c r="B695" t="s">
        <v>95</v>
      </c>
      <c r="C695" t="s">
        <v>2979</v>
      </c>
      <c r="D695">
        <v>2023</v>
      </c>
      <c r="E695">
        <v>2020</v>
      </c>
      <c r="F695" t="s">
        <v>1783</v>
      </c>
      <c r="G695" s="259">
        <v>1</v>
      </c>
      <c r="H695">
        <v>2020</v>
      </c>
      <c r="I695" t="s">
        <v>1783</v>
      </c>
      <c r="J695" t="s">
        <v>1849</v>
      </c>
      <c r="K695" s="336">
        <v>2035</v>
      </c>
      <c r="Q695" s="80">
        <f t="shared" si="105"/>
        <v>22.410678452943703</v>
      </c>
      <c r="S695" s="80"/>
      <c r="X695" s="54" t="s">
        <v>2984</v>
      </c>
      <c r="Y695" s="377">
        <v>2</v>
      </c>
      <c r="Z695" s="377">
        <v>1</v>
      </c>
      <c r="AA695" s="377">
        <v>1</v>
      </c>
      <c r="AB695" s="377">
        <v>3</v>
      </c>
      <c r="AC695" s="377">
        <v>1</v>
      </c>
    </row>
    <row r="696" spans="1:29" x14ac:dyDescent="0.25">
      <c r="A696" t="s">
        <v>2067</v>
      </c>
      <c r="B696" t="s">
        <v>95</v>
      </c>
      <c r="C696" t="s">
        <v>2979</v>
      </c>
      <c r="D696">
        <v>2023</v>
      </c>
      <c r="E696">
        <v>2020</v>
      </c>
      <c r="F696" t="s">
        <v>1783</v>
      </c>
      <c r="G696" s="259">
        <v>1</v>
      </c>
      <c r="H696">
        <v>2020</v>
      </c>
      <c r="I696" t="s">
        <v>1783</v>
      </c>
      <c r="J696" t="s">
        <v>1849</v>
      </c>
      <c r="K696" s="336">
        <v>2040</v>
      </c>
      <c r="Q696" s="80">
        <f t="shared" si="105"/>
        <v>22.86175066250247</v>
      </c>
      <c r="S696" s="80"/>
      <c r="X696" s="54" t="s">
        <v>2984</v>
      </c>
      <c r="Y696" s="377">
        <v>2</v>
      </c>
      <c r="Z696" s="377">
        <v>1</v>
      </c>
      <c r="AA696" s="377">
        <v>1</v>
      </c>
      <c r="AB696" s="377">
        <v>3</v>
      </c>
      <c r="AC696" s="377">
        <v>1</v>
      </c>
    </row>
    <row r="697" spans="1:29" x14ac:dyDescent="0.25">
      <c r="A697" t="s">
        <v>2067</v>
      </c>
      <c r="B697" t="s">
        <v>95</v>
      </c>
      <c r="C697" t="s">
        <v>2979</v>
      </c>
      <c r="D697">
        <v>2023</v>
      </c>
      <c r="E697">
        <v>2020</v>
      </c>
      <c r="F697" t="s">
        <v>1783</v>
      </c>
      <c r="G697" s="259">
        <v>1</v>
      </c>
      <c r="H697">
        <v>2020</v>
      </c>
      <c r="I697" t="s">
        <v>1783</v>
      </c>
      <c r="J697" t="s">
        <v>1849</v>
      </c>
      <c r="K697" s="336">
        <v>2045</v>
      </c>
      <c r="Q697" s="80">
        <f t="shared" si="105"/>
        <v>23.20743880120212</v>
      </c>
      <c r="S697" s="80"/>
      <c r="X697" s="54" t="s">
        <v>2984</v>
      </c>
      <c r="Y697" s="377">
        <v>2</v>
      </c>
      <c r="Z697" s="377">
        <v>1</v>
      </c>
      <c r="AA697" s="377">
        <v>1</v>
      </c>
      <c r="AB697" s="377">
        <v>3</v>
      </c>
      <c r="AC697" s="377">
        <v>1</v>
      </c>
    </row>
    <row r="698" spans="1:29" x14ac:dyDescent="0.25">
      <c r="A698" t="s">
        <v>2067</v>
      </c>
      <c r="B698" t="s">
        <v>95</v>
      </c>
      <c r="C698" t="s">
        <v>2979</v>
      </c>
      <c r="D698">
        <v>2023</v>
      </c>
      <c r="E698">
        <v>2020</v>
      </c>
      <c r="F698" t="s">
        <v>1783</v>
      </c>
      <c r="G698" s="259">
        <v>1</v>
      </c>
      <c r="H698">
        <v>2020</v>
      </c>
      <c r="I698" t="s">
        <v>1783</v>
      </c>
      <c r="J698" t="s">
        <v>1849</v>
      </c>
      <c r="K698" s="336">
        <v>2050</v>
      </c>
      <c r="Q698" s="80">
        <f t="shared" si="105"/>
        <v>23.676954997303842</v>
      </c>
      <c r="S698" s="80"/>
      <c r="X698" s="54" t="s">
        <v>2984</v>
      </c>
      <c r="Y698" s="377">
        <v>2</v>
      </c>
      <c r="Z698" s="377">
        <v>1</v>
      </c>
      <c r="AA698" s="377">
        <v>1</v>
      </c>
      <c r="AB698" s="377">
        <v>3</v>
      </c>
      <c r="AC698" s="377">
        <v>1</v>
      </c>
    </row>
    <row r="699" spans="1:29" x14ac:dyDescent="0.25">
      <c r="A699" t="s">
        <v>2082</v>
      </c>
      <c r="B699" t="s">
        <v>95</v>
      </c>
      <c r="C699" t="s">
        <v>2189</v>
      </c>
      <c r="D699">
        <v>2023</v>
      </c>
      <c r="E699">
        <v>2020</v>
      </c>
      <c r="F699" t="s">
        <v>1783</v>
      </c>
      <c r="G699" s="259">
        <v>1</v>
      </c>
      <c r="H699">
        <v>2020</v>
      </c>
      <c r="I699" t="s">
        <v>1783</v>
      </c>
      <c r="J699" t="s">
        <v>1849</v>
      </c>
      <c r="K699" s="336">
        <v>2021</v>
      </c>
      <c r="Q699" s="80">
        <f>0.5*($AJ$151+$AO$149)+0.5*$AJ$152</f>
        <v>34.28660754896886</v>
      </c>
      <c r="X699" s="54" t="s">
        <v>2878</v>
      </c>
      <c r="Y699" s="377">
        <v>1</v>
      </c>
      <c r="Z699" s="377">
        <v>1</v>
      </c>
      <c r="AA699" s="377">
        <v>1</v>
      </c>
      <c r="AB699" s="377">
        <v>1</v>
      </c>
      <c r="AC699" s="377">
        <v>1</v>
      </c>
    </row>
    <row r="700" spans="1:29" x14ac:dyDescent="0.25">
      <c r="A700" t="s">
        <v>2082</v>
      </c>
      <c r="B700" t="s">
        <v>95</v>
      </c>
      <c r="C700" t="s">
        <v>2189</v>
      </c>
      <c r="D700">
        <v>2023</v>
      </c>
      <c r="E700">
        <v>2020</v>
      </c>
      <c r="F700" t="s">
        <v>1783</v>
      </c>
      <c r="G700" s="259">
        <v>1</v>
      </c>
      <c r="H700">
        <v>2020</v>
      </c>
      <c r="I700" t="s">
        <v>1783</v>
      </c>
      <c r="J700" t="s">
        <v>1849</v>
      </c>
      <c r="K700" s="336">
        <v>2025</v>
      </c>
      <c r="Q700" s="80">
        <f t="shared" ref="Q700:Q705" si="106">0.5*($AJ$151+$AO$149)+0.5*$AJ$152</f>
        <v>34.28660754896886</v>
      </c>
      <c r="X700" s="54" t="s">
        <v>2878</v>
      </c>
      <c r="Y700" s="377">
        <v>2</v>
      </c>
      <c r="Z700" s="377">
        <v>1</v>
      </c>
      <c r="AA700" s="377">
        <v>1</v>
      </c>
      <c r="AB700" s="377">
        <v>1</v>
      </c>
      <c r="AC700" s="377">
        <v>1</v>
      </c>
    </row>
    <row r="701" spans="1:29" x14ac:dyDescent="0.25">
      <c r="A701" t="s">
        <v>2082</v>
      </c>
      <c r="B701" t="s">
        <v>95</v>
      </c>
      <c r="C701" t="s">
        <v>2189</v>
      </c>
      <c r="D701">
        <v>2023</v>
      </c>
      <c r="E701">
        <v>2020</v>
      </c>
      <c r="F701" t="s">
        <v>1783</v>
      </c>
      <c r="G701" s="259">
        <v>1</v>
      </c>
      <c r="H701">
        <v>2020</v>
      </c>
      <c r="I701" t="s">
        <v>1783</v>
      </c>
      <c r="J701" t="s">
        <v>1849</v>
      </c>
      <c r="K701" s="336">
        <v>2030</v>
      </c>
      <c r="Q701" s="80">
        <f t="shared" si="106"/>
        <v>34.28660754896886</v>
      </c>
      <c r="X701" s="54" t="s">
        <v>2878</v>
      </c>
      <c r="Y701" s="377">
        <v>2</v>
      </c>
      <c r="Z701" s="377">
        <v>1</v>
      </c>
      <c r="AA701" s="377">
        <v>1</v>
      </c>
      <c r="AB701" s="377">
        <v>1</v>
      </c>
      <c r="AC701" s="377">
        <v>1</v>
      </c>
    </row>
    <row r="702" spans="1:29" x14ac:dyDescent="0.25">
      <c r="A702" t="s">
        <v>2082</v>
      </c>
      <c r="B702" t="s">
        <v>95</v>
      </c>
      <c r="C702" t="s">
        <v>2189</v>
      </c>
      <c r="D702">
        <v>2023</v>
      </c>
      <c r="E702">
        <v>2020</v>
      </c>
      <c r="F702" t="s">
        <v>1783</v>
      </c>
      <c r="G702" s="259">
        <v>1</v>
      </c>
      <c r="H702">
        <v>2020</v>
      </c>
      <c r="I702" t="s">
        <v>1783</v>
      </c>
      <c r="J702" t="s">
        <v>1849</v>
      </c>
      <c r="K702" s="336">
        <v>2035</v>
      </c>
      <c r="Q702" s="80">
        <f t="shared" si="106"/>
        <v>34.28660754896886</v>
      </c>
      <c r="X702" s="54" t="s">
        <v>2878</v>
      </c>
      <c r="Y702" s="377">
        <v>2</v>
      </c>
      <c r="Z702" s="377">
        <v>1</v>
      </c>
      <c r="AA702" s="377">
        <v>1</v>
      </c>
      <c r="AB702" s="377">
        <v>1</v>
      </c>
      <c r="AC702" s="377">
        <v>1</v>
      </c>
    </row>
    <row r="703" spans="1:29" x14ac:dyDescent="0.25">
      <c r="A703" t="s">
        <v>2082</v>
      </c>
      <c r="B703" t="s">
        <v>95</v>
      </c>
      <c r="C703" t="s">
        <v>2189</v>
      </c>
      <c r="D703">
        <v>2023</v>
      </c>
      <c r="E703">
        <v>2020</v>
      </c>
      <c r="F703" t="s">
        <v>1783</v>
      </c>
      <c r="G703" s="259">
        <v>1</v>
      </c>
      <c r="H703">
        <v>2020</v>
      </c>
      <c r="I703" t="s">
        <v>1783</v>
      </c>
      <c r="J703" t="s">
        <v>1849</v>
      </c>
      <c r="K703" s="336">
        <v>2040</v>
      </c>
      <c r="Q703" s="80">
        <f t="shared" si="106"/>
        <v>34.28660754896886</v>
      </c>
      <c r="X703" s="54" t="s">
        <v>2878</v>
      </c>
      <c r="Y703" s="377">
        <v>2</v>
      </c>
      <c r="Z703" s="377">
        <v>1</v>
      </c>
      <c r="AA703" s="377">
        <v>1</v>
      </c>
      <c r="AB703" s="377">
        <v>1</v>
      </c>
      <c r="AC703" s="377">
        <v>1</v>
      </c>
    </row>
    <row r="704" spans="1:29" x14ac:dyDescent="0.25">
      <c r="A704" t="s">
        <v>2082</v>
      </c>
      <c r="B704" t="s">
        <v>95</v>
      </c>
      <c r="C704" t="s">
        <v>2189</v>
      </c>
      <c r="D704">
        <v>2023</v>
      </c>
      <c r="E704">
        <v>2020</v>
      </c>
      <c r="F704" t="s">
        <v>1783</v>
      </c>
      <c r="G704" s="259">
        <v>1</v>
      </c>
      <c r="H704">
        <v>2020</v>
      </c>
      <c r="I704" t="s">
        <v>1783</v>
      </c>
      <c r="J704" t="s">
        <v>1849</v>
      </c>
      <c r="K704" s="336">
        <v>2045</v>
      </c>
      <c r="Q704" s="80">
        <f t="shared" si="106"/>
        <v>34.28660754896886</v>
      </c>
      <c r="X704" s="54" t="s">
        <v>2878</v>
      </c>
      <c r="Y704" s="377">
        <v>2</v>
      </c>
      <c r="Z704" s="377">
        <v>1</v>
      </c>
      <c r="AA704" s="377">
        <v>1</v>
      </c>
      <c r="AB704" s="377">
        <v>1</v>
      </c>
      <c r="AC704" s="377">
        <v>1</v>
      </c>
    </row>
    <row r="705" spans="1:29" x14ac:dyDescent="0.25">
      <c r="A705" t="s">
        <v>2082</v>
      </c>
      <c r="B705" t="s">
        <v>95</v>
      </c>
      <c r="C705" t="s">
        <v>2189</v>
      </c>
      <c r="D705">
        <v>2023</v>
      </c>
      <c r="E705">
        <v>2020</v>
      </c>
      <c r="F705" t="s">
        <v>1783</v>
      </c>
      <c r="G705" s="259">
        <v>1</v>
      </c>
      <c r="H705">
        <v>2020</v>
      </c>
      <c r="I705" t="s">
        <v>1783</v>
      </c>
      <c r="J705" t="s">
        <v>1849</v>
      </c>
      <c r="K705" s="336">
        <v>2050</v>
      </c>
      <c r="Q705" s="80">
        <f t="shared" si="106"/>
        <v>34.28660754896886</v>
      </c>
      <c r="X705" s="54" t="s">
        <v>2878</v>
      </c>
      <c r="Y705" s="377">
        <v>2</v>
      </c>
      <c r="Z705" s="377">
        <v>1</v>
      </c>
      <c r="AA705" s="377">
        <v>1</v>
      </c>
      <c r="AB705" s="377">
        <v>1</v>
      </c>
      <c r="AC705" s="377">
        <v>1</v>
      </c>
    </row>
    <row r="706" spans="1:29" x14ac:dyDescent="0.25">
      <c r="A706" t="s">
        <v>2068</v>
      </c>
      <c r="B706" t="s">
        <v>95</v>
      </c>
      <c r="C706" t="s">
        <v>2980</v>
      </c>
      <c r="D706">
        <v>2023</v>
      </c>
      <c r="E706">
        <v>2022</v>
      </c>
      <c r="F706" t="s">
        <v>1783</v>
      </c>
      <c r="G706" s="259">
        <f>CAD2022_to_2020</f>
        <v>0.86269644334160445</v>
      </c>
      <c r="H706">
        <v>2020</v>
      </c>
      <c r="I706" t="s">
        <v>1783</v>
      </c>
      <c r="J706" t="s">
        <v>1849</v>
      </c>
      <c r="K706" s="336">
        <v>2021</v>
      </c>
      <c r="Q706" s="80">
        <f>($AI$163-($AJ$149+$AO$148)*0.1)/0.9</f>
        <v>35.436907373336922</v>
      </c>
      <c r="S706" s="80"/>
      <c r="X706" s="54" t="s">
        <v>2985</v>
      </c>
      <c r="Y706" s="377">
        <v>2</v>
      </c>
      <c r="Z706" s="377">
        <v>1</v>
      </c>
      <c r="AA706" s="377">
        <v>1</v>
      </c>
      <c r="AB706" s="377">
        <v>1</v>
      </c>
      <c r="AC706" s="377">
        <v>1</v>
      </c>
    </row>
    <row r="707" spans="1:29" x14ac:dyDescent="0.25">
      <c r="A707" t="s">
        <v>2068</v>
      </c>
      <c r="B707" t="s">
        <v>95</v>
      </c>
      <c r="C707" t="s">
        <v>2979</v>
      </c>
      <c r="D707">
        <v>2023</v>
      </c>
      <c r="E707">
        <v>2020</v>
      </c>
      <c r="F707" t="s">
        <v>1783</v>
      </c>
      <c r="G707" s="259">
        <v>1</v>
      </c>
      <c r="H707">
        <v>2020</v>
      </c>
      <c r="I707" t="s">
        <v>1783</v>
      </c>
      <c r="J707" t="s">
        <v>1849</v>
      </c>
      <c r="K707" s="336">
        <v>2025</v>
      </c>
      <c r="Q707" s="80">
        <f t="shared" ref="Q707:Q712" si="107">$Q$706*AY180</f>
        <v>24.740567518446731</v>
      </c>
      <c r="S707" s="80"/>
      <c r="X707" s="54" t="s">
        <v>2986</v>
      </c>
      <c r="Y707" s="377">
        <v>2</v>
      </c>
      <c r="Z707" s="377">
        <v>1</v>
      </c>
      <c r="AA707" s="377">
        <v>1</v>
      </c>
      <c r="AB707" s="377">
        <v>3</v>
      </c>
      <c r="AC707" s="377">
        <v>1</v>
      </c>
    </row>
    <row r="708" spans="1:29" x14ac:dyDescent="0.25">
      <c r="A708" t="s">
        <v>2068</v>
      </c>
      <c r="B708" t="s">
        <v>95</v>
      </c>
      <c r="C708" t="s">
        <v>2979</v>
      </c>
      <c r="D708">
        <v>2023</v>
      </c>
      <c r="E708">
        <v>2020</v>
      </c>
      <c r="F708" t="s">
        <v>1783</v>
      </c>
      <c r="G708" s="259">
        <v>1</v>
      </c>
      <c r="H708">
        <v>2020</v>
      </c>
      <c r="I708" t="s">
        <v>1783</v>
      </c>
      <c r="J708" t="s">
        <v>1849</v>
      </c>
      <c r="K708" s="336">
        <v>2030</v>
      </c>
      <c r="Q708" s="80">
        <f t="shared" si="107"/>
        <v>24.60375725434373</v>
      </c>
      <c r="S708" s="80"/>
      <c r="X708" s="54" t="s">
        <v>2986</v>
      </c>
      <c r="Y708" s="377">
        <v>2</v>
      </c>
      <c r="Z708" s="377">
        <v>1</v>
      </c>
      <c r="AA708" s="377">
        <v>1</v>
      </c>
      <c r="AB708" s="377">
        <v>3</v>
      </c>
      <c r="AC708" s="377">
        <v>1</v>
      </c>
    </row>
    <row r="709" spans="1:29" x14ac:dyDescent="0.25">
      <c r="A709" t="s">
        <v>2068</v>
      </c>
      <c r="B709" t="s">
        <v>95</v>
      </c>
      <c r="C709" t="s">
        <v>2979</v>
      </c>
      <c r="D709">
        <v>2023</v>
      </c>
      <c r="E709">
        <v>2020</v>
      </c>
      <c r="F709" t="s">
        <v>1783</v>
      </c>
      <c r="G709" s="259">
        <v>1</v>
      </c>
      <c r="H709">
        <v>2020</v>
      </c>
      <c r="I709" t="s">
        <v>1783</v>
      </c>
      <c r="J709" t="s">
        <v>1849</v>
      </c>
      <c r="K709" s="336">
        <v>2035</v>
      </c>
      <c r="Q709" s="80">
        <f t="shared" si="107"/>
        <v>25.149562343929073</v>
      </c>
      <c r="S709" s="80"/>
      <c r="X709" s="54" t="s">
        <v>2986</v>
      </c>
      <c r="Y709" s="377">
        <v>2</v>
      </c>
      <c r="Z709" s="377">
        <v>1</v>
      </c>
      <c r="AA709" s="377">
        <v>1</v>
      </c>
      <c r="AB709" s="377">
        <v>3</v>
      </c>
      <c r="AC709" s="377">
        <v>1</v>
      </c>
    </row>
    <row r="710" spans="1:29" x14ac:dyDescent="0.25">
      <c r="A710" t="s">
        <v>2068</v>
      </c>
      <c r="B710" t="s">
        <v>95</v>
      </c>
      <c r="C710" t="s">
        <v>2979</v>
      </c>
      <c r="D710">
        <v>2023</v>
      </c>
      <c r="E710">
        <v>2020</v>
      </c>
      <c r="F710" t="s">
        <v>1783</v>
      </c>
      <c r="G710" s="259">
        <v>1</v>
      </c>
      <c r="H710">
        <v>2020</v>
      </c>
      <c r="I710" t="s">
        <v>1783</v>
      </c>
      <c r="J710" t="s">
        <v>1849</v>
      </c>
      <c r="K710" s="336">
        <v>2040</v>
      </c>
      <c r="Q710" s="80">
        <f t="shared" si="107"/>
        <v>25.97445643812884</v>
      </c>
      <c r="S710" s="80"/>
      <c r="X710" s="54" t="s">
        <v>2986</v>
      </c>
      <c r="Y710" s="377">
        <v>2</v>
      </c>
      <c r="Z710" s="377">
        <v>1</v>
      </c>
      <c r="AA710" s="377">
        <v>1</v>
      </c>
      <c r="AB710" s="377">
        <v>3</v>
      </c>
      <c r="AC710" s="377">
        <v>1</v>
      </c>
    </row>
    <row r="711" spans="1:29" x14ac:dyDescent="0.25">
      <c r="A711" t="s">
        <v>2068</v>
      </c>
      <c r="B711" t="s">
        <v>95</v>
      </c>
      <c r="C711" t="s">
        <v>2979</v>
      </c>
      <c r="D711">
        <v>2023</v>
      </c>
      <c r="E711">
        <v>2020</v>
      </c>
      <c r="F711" t="s">
        <v>1783</v>
      </c>
      <c r="G711" s="259">
        <v>1</v>
      </c>
      <c r="H711">
        <v>2020</v>
      </c>
      <c r="I711" t="s">
        <v>1783</v>
      </c>
      <c r="J711" t="s">
        <v>1849</v>
      </c>
      <c r="K711" s="336">
        <v>2045</v>
      </c>
      <c r="Q711" s="80">
        <f t="shared" si="107"/>
        <v>26.276865150592894</v>
      </c>
      <c r="S711" s="80"/>
      <c r="X711" s="54" t="s">
        <v>2986</v>
      </c>
      <c r="Y711" s="377">
        <v>2</v>
      </c>
      <c r="Z711" s="377">
        <v>1</v>
      </c>
      <c r="AA711" s="377">
        <v>1</v>
      </c>
      <c r="AB711" s="377">
        <v>3</v>
      </c>
      <c r="AC711" s="377">
        <v>1</v>
      </c>
    </row>
    <row r="712" spans="1:29" x14ac:dyDescent="0.25">
      <c r="A712" t="s">
        <v>2068</v>
      </c>
      <c r="B712" t="s">
        <v>95</v>
      </c>
      <c r="C712" t="s">
        <v>2979</v>
      </c>
      <c r="D712">
        <v>2023</v>
      </c>
      <c r="E712">
        <v>2020</v>
      </c>
      <c r="F712" t="s">
        <v>1783</v>
      </c>
      <c r="G712" s="259">
        <v>1</v>
      </c>
      <c r="H712">
        <v>2020</v>
      </c>
      <c r="I712" t="s">
        <v>1783</v>
      </c>
      <c r="J712" t="s">
        <v>1849</v>
      </c>
      <c r="K712" s="336">
        <v>2050</v>
      </c>
      <c r="Q712" s="80">
        <f t="shared" si="107"/>
        <v>27.472612430865112</v>
      </c>
      <c r="S712" s="80"/>
      <c r="X712" s="54" t="s">
        <v>2986</v>
      </c>
      <c r="Y712" s="377">
        <v>2</v>
      </c>
      <c r="Z712" s="377">
        <v>1</v>
      </c>
      <c r="AA712" s="377">
        <v>1</v>
      </c>
      <c r="AB712" s="377">
        <v>3</v>
      </c>
      <c r="AC712" s="377">
        <v>1</v>
      </c>
    </row>
    <row r="713" spans="1:29" x14ac:dyDescent="0.25">
      <c r="A713" t="s">
        <v>2077</v>
      </c>
      <c r="B713" t="s">
        <v>95</v>
      </c>
      <c r="C713" t="s">
        <v>2189</v>
      </c>
      <c r="D713">
        <v>2023</v>
      </c>
      <c r="E713">
        <v>2020</v>
      </c>
      <c r="F713" t="s">
        <v>1783</v>
      </c>
      <c r="G713" s="259">
        <v>1</v>
      </c>
      <c r="H713">
        <v>2020</v>
      </c>
      <c r="I713" t="s">
        <v>1783</v>
      </c>
      <c r="J713" t="s">
        <v>1849</v>
      </c>
      <c r="K713" s="336">
        <v>2021</v>
      </c>
      <c r="Q713" s="80">
        <f>$AJ$149+$AO$148</f>
        <v>25.80133239927283</v>
      </c>
      <c r="X713" s="54" t="s">
        <v>2879</v>
      </c>
      <c r="Y713" s="377">
        <v>1</v>
      </c>
      <c r="Z713" s="377">
        <v>1</v>
      </c>
      <c r="AA713" s="377">
        <v>1</v>
      </c>
      <c r="AB713" s="377">
        <v>1</v>
      </c>
      <c r="AC713" s="377">
        <v>1</v>
      </c>
    </row>
    <row r="714" spans="1:29" x14ac:dyDescent="0.25">
      <c r="A714" t="s">
        <v>2077</v>
      </c>
      <c r="B714" t="s">
        <v>95</v>
      </c>
      <c r="C714" t="s">
        <v>2189</v>
      </c>
      <c r="D714">
        <v>2023</v>
      </c>
      <c r="E714">
        <v>2020</v>
      </c>
      <c r="F714" t="s">
        <v>1783</v>
      </c>
      <c r="G714" s="259">
        <v>1</v>
      </c>
      <c r="H714">
        <v>2020</v>
      </c>
      <c r="I714" t="s">
        <v>1783</v>
      </c>
      <c r="J714" t="s">
        <v>1849</v>
      </c>
      <c r="K714" s="336">
        <v>2025</v>
      </c>
      <c r="Q714" s="80">
        <f t="shared" ref="Q714:Q719" si="108">$AJ$149+$AO$148</f>
        <v>25.80133239927283</v>
      </c>
      <c r="X714" s="54" t="s">
        <v>2879</v>
      </c>
      <c r="Y714" s="377">
        <v>2</v>
      </c>
      <c r="Z714" s="377">
        <v>1</v>
      </c>
      <c r="AA714" s="377">
        <v>1</v>
      </c>
      <c r="AB714" s="377">
        <v>1</v>
      </c>
      <c r="AC714" s="377">
        <v>1</v>
      </c>
    </row>
    <row r="715" spans="1:29" x14ac:dyDescent="0.25">
      <c r="A715" t="s">
        <v>2077</v>
      </c>
      <c r="B715" t="s">
        <v>95</v>
      </c>
      <c r="C715" t="s">
        <v>2189</v>
      </c>
      <c r="D715">
        <v>2023</v>
      </c>
      <c r="E715">
        <v>2020</v>
      </c>
      <c r="F715" t="s">
        <v>1783</v>
      </c>
      <c r="G715" s="259">
        <v>1</v>
      </c>
      <c r="H715">
        <v>2020</v>
      </c>
      <c r="I715" t="s">
        <v>1783</v>
      </c>
      <c r="J715" t="s">
        <v>1849</v>
      </c>
      <c r="K715" s="336">
        <v>2030</v>
      </c>
      <c r="Q715" s="80">
        <f t="shared" si="108"/>
        <v>25.80133239927283</v>
      </c>
      <c r="X715" s="54" t="s">
        <v>2879</v>
      </c>
      <c r="Y715" s="377">
        <v>2</v>
      </c>
      <c r="Z715" s="377">
        <v>1</v>
      </c>
      <c r="AA715" s="377">
        <v>1</v>
      </c>
      <c r="AB715" s="377">
        <v>1</v>
      </c>
      <c r="AC715" s="377">
        <v>1</v>
      </c>
    </row>
    <row r="716" spans="1:29" x14ac:dyDescent="0.25">
      <c r="A716" t="s">
        <v>2077</v>
      </c>
      <c r="B716" t="s">
        <v>95</v>
      </c>
      <c r="C716" t="s">
        <v>2189</v>
      </c>
      <c r="D716">
        <v>2023</v>
      </c>
      <c r="E716">
        <v>2020</v>
      </c>
      <c r="F716" t="s">
        <v>1783</v>
      </c>
      <c r="G716" s="259">
        <v>1</v>
      </c>
      <c r="H716">
        <v>2020</v>
      </c>
      <c r="I716" t="s">
        <v>1783</v>
      </c>
      <c r="J716" t="s">
        <v>1849</v>
      </c>
      <c r="K716" s="336">
        <v>2035</v>
      </c>
      <c r="Q716" s="80">
        <f t="shared" si="108"/>
        <v>25.80133239927283</v>
      </c>
      <c r="X716" s="54" t="s">
        <v>2879</v>
      </c>
      <c r="Y716" s="377">
        <v>2</v>
      </c>
      <c r="Z716" s="377">
        <v>1</v>
      </c>
      <c r="AA716" s="377">
        <v>1</v>
      </c>
      <c r="AB716" s="377">
        <v>1</v>
      </c>
      <c r="AC716" s="377">
        <v>1</v>
      </c>
    </row>
    <row r="717" spans="1:29" x14ac:dyDescent="0.25">
      <c r="A717" t="s">
        <v>2077</v>
      </c>
      <c r="B717" t="s">
        <v>95</v>
      </c>
      <c r="C717" t="s">
        <v>2189</v>
      </c>
      <c r="D717">
        <v>2023</v>
      </c>
      <c r="E717">
        <v>2020</v>
      </c>
      <c r="F717" t="s">
        <v>1783</v>
      </c>
      <c r="G717" s="259">
        <v>1</v>
      </c>
      <c r="H717">
        <v>2020</v>
      </c>
      <c r="I717" t="s">
        <v>1783</v>
      </c>
      <c r="J717" t="s">
        <v>1849</v>
      </c>
      <c r="K717" s="336">
        <v>2040</v>
      </c>
      <c r="Q717" s="80">
        <f t="shared" si="108"/>
        <v>25.80133239927283</v>
      </c>
      <c r="X717" s="54" t="s">
        <v>2879</v>
      </c>
      <c r="Y717" s="377">
        <v>2</v>
      </c>
      <c r="Z717" s="377">
        <v>1</v>
      </c>
      <c r="AA717" s="377">
        <v>1</v>
      </c>
      <c r="AB717" s="377">
        <v>1</v>
      </c>
      <c r="AC717" s="377">
        <v>1</v>
      </c>
    </row>
    <row r="718" spans="1:29" x14ac:dyDescent="0.25">
      <c r="A718" t="s">
        <v>2077</v>
      </c>
      <c r="B718" t="s">
        <v>95</v>
      </c>
      <c r="C718" t="s">
        <v>2189</v>
      </c>
      <c r="D718">
        <v>2023</v>
      </c>
      <c r="E718">
        <v>2020</v>
      </c>
      <c r="F718" t="s">
        <v>1783</v>
      </c>
      <c r="G718" s="259">
        <v>1</v>
      </c>
      <c r="H718">
        <v>2020</v>
      </c>
      <c r="I718" t="s">
        <v>1783</v>
      </c>
      <c r="J718" t="s">
        <v>1849</v>
      </c>
      <c r="K718" s="336">
        <v>2045</v>
      </c>
      <c r="Q718" s="80">
        <f t="shared" si="108"/>
        <v>25.80133239927283</v>
      </c>
      <c r="X718" s="54" t="s">
        <v>2879</v>
      </c>
      <c r="Y718" s="377">
        <v>2</v>
      </c>
      <c r="Z718" s="377">
        <v>1</v>
      </c>
      <c r="AA718" s="377">
        <v>1</v>
      </c>
      <c r="AB718" s="377">
        <v>1</v>
      </c>
      <c r="AC718" s="377">
        <v>1</v>
      </c>
    </row>
    <row r="719" spans="1:29" x14ac:dyDescent="0.25">
      <c r="A719" t="s">
        <v>2077</v>
      </c>
      <c r="B719" t="s">
        <v>95</v>
      </c>
      <c r="C719" t="s">
        <v>2189</v>
      </c>
      <c r="D719">
        <v>2023</v>
      </c>
      <c r="E719">
        <v>2020</v>
      </c>
      <c r="F719" t="s">
        <v>1783</v>
      </c>
      <c r="G719" s="259">
        <v>1</v>
      </c>
      <c r="H719">
        <v>2020</v>
      </c>
      <c r="I719" t="s">
        <v>1783</v>
      </c>
      <c r="J719" t="s">
        <v>1849</v>
      </c>
      <c r="K719" s="336">
        <v>2050</v>
      </c>
      <c r="Q719" s="80">
        <f t="shared" si="108"/>
        <v>25.80133239927283</v>
      </c>
      <c r="X719" s="54" t="s">
        <v>2879</v>
      </c>
      <c r="Y719" s="377">
        <v>2</v>
      </c>
      <c r="Z719" s="377">
        <v>1</v>
      </c>
      <c r="AA719" s="377">
        <v>1</v>
      </c>
      <c r="AB719" s="377">
        <v>1</v>
      </c>
      <c r="AC719" s="377">
        <v>1</v>
      </c>
    </row>
    <row r="720" spans="1:29" x14ac:dyDescent="0.25">
      <c r="A720" t="s">
        <v>2069</v>
      </c>
      <c r="B720" t="s">
        <v>95</v>
      </c>
      <c r="C720" t="s">
        <v>2877</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2987</v>
      </c>
      <c r="Y720" s="377">
        <v>2</v>
      </c>
      <c r="Z720" s="377">
        <v>1</v>
      </c>
      <c r="AA720" s="377">
        <v>1</v>
      </c>
      <c r="AB720" s="377">
        <v>3</v>
      </c>
      <c r="AC720" s="377">
        <v>1</v>
      </c>
    </row>
    <row r="721" spans="1:29" x14ac:dyDescent="0.25">
      <c r="A721" t="s">
        <v>2069</v>
      </c>
      <c r="B721" t="s">
        <v>95</v>
      </c>
      <c r="C721" t="s">
        <v>2877</v>
      </c>
      <c r="D721">
        <v>2023</v>
      </c>
      <c r="E721">
        <v>2022</v>
      </c>
      <c r="F721" t="s">
        <v>1781</v>
      </c>
      <c r="G721" s="259">
        <f t="shared" si="109"/>
        <v>1.1226268817204299</v>
      </c>
      <c r="H721">
        <v>2020</v>
      </c>
      <c r="I721" t="s">
        <v>1783</v>
      </c>
      <c r="J721" t="s">
        <v>1849</v>
      </c>
      <c r="K721" s="336">
        <v>2025</v>
      </c>
      <c r="Q721" s="80">
        <f>$AI$176*1</f>
        <v>16.899639078184229</v>
      </c>
      <c r="X721" s="54" t="s">
        <v>2987</v>
      </c>
      <c r="Y721" s="377">
        <v>2</v>
      </c>
      <c r="Z721" s="377">
        <v>1</v>
      </c>
      <c r="AA721" s="377">
        <v>1</v>
      </c>
      <c r="AB721" s="377">
        <v>3</v>
      </c>
      <c r="AC721" s="377">
        <v>1</v>
      </c>
    </row>
    <row r="722" spans="1:29" x14ac:dyDescent="0.25">
      <c r="A722" t="s">
        <v>2069</v>
      </c>
      <c r="B722" t="s">
        <v>95</v>
      </c>
      <c r="C722" t="s">
        <v>2877</v>
      </c>
      <c r="D722">
        <v>2023</v>
      </c>
      <c r="E722">
        <v>2022</v>
      </c>
      <c r="F722" t="s">
        <v>1781</v>
      </c>
      <c r="G722" s="259">
        <f t="shared" si="109"/>
        <v>1.1226268817204299</v>
      </c>
      <c r="H722">
        <v>2020</v>
      </c>
      <c r="I722" t="s">
        <v>1783</v>
      </c>
      <c r="J722" t="s">
        <v>1849</v>
      </c>
      <c r="K722" s="336">
        <v>2030</v>
      </c>
      <c r="Q722" s="80">
        <f>$AJ$176*1</f>
        <v>14.98745980375382</v>
      </c>
      <c r="X722" s="54" t="s">
        <v>2987</v>
      </c>
      <c r="Y722" s="377">
        <v>2</v>
      </c>
      <c r="Z722" s="377">
        <v>1</v>
      </c>
      <c r="AA722" s="377">
        <v>1</v>
      </c>
      <c r="AB722" s="377">
        <v>3</v>
      </c>
      <c r="AC722" s="377">
        <v>1</v>
      </c>
    </row>
    <row r="723" spans="1:29" x14ac:dyDescent="0.25">
      <c r="A723" t="s">
        <v>2069</v>
      </c>
      <c r="B723" t="s">
        <v>95</v>
      </c>
      <c r="C723" t="s">
        <v>2877</v>
      </c>
      <c r="D723">
        <v>2023</v>
      </c>
      <c r="E723">
        <v>2022</v>
      </c>
      <c r="F723" t="s">
        <v>1781</v>
      </c>
      <c r="G723" s="259">
        <f t="shared" si="109"/>
        <v>1.1226268817204299</v>
      </c>
      <c r="H723">
        <v>2020</v>
      </c>
      <c r="I723" t="s">
        <v>1783</v>
      </c>
      <c r="J723" t="s">
        <v>1849</v>
      </c>
      <c r="K723" s="336">
        <v>2035</v>
      </c>
      <c r="Q723" s="80">
        <f>$AK$176*1</f>
        <v>13.9957677535015</v>
      </c>
      <c r="X723" s="54" t="s">
        <v>2987</v>
      </c>
      <c r="Y723" s="377">
        <v>2</v>
      </c>
      <c r="Z723" s="377">
        <v>1</v>
      </c>
      <c r="AA723" s="377">
        <v>1</v>
      </c>
      <c r="AB723" s="377">
        <v>3</v>
      </c>
      <c r="AC723" s="377">
        <v>1</v>
      </c>
    </row>
    <row r="724" spans="1:29" x14ac:dyDescent="0.25">
      <c r="A724" t="s">
        <v>2069</v>
      </c>
      <c r="B724" t="s">
        <v>95</v>
      </c>
      <c r="C724" t="s">
        <v>2877</v>
      </c>
      <c r="D724">
        <v>2023</v>
      </c>
      <c r="E724">
        <v>2022</v>
      </c>
      <c r="F724" t="s">
        <v>1781</v>
      </c>
      <c r="G724" s="259">
        <f t="shared" si="109"/>
        <v>1.1226268817204299</v>
      </c>
      <c r="H724">
        <v>2020</v>
      </c>
      <c r="I724" t="s">
        <v>1783</v>
      </c>
      <c r="J724" t="s">
        <v>1849</v>
      </c>
      <c r="K724" s="336">
        <v>2040</v>
      </c>
      <c r="Q724" s="80">
        <f>$AL$176*1</f>
        <v>12.994553564715456</v>
      </c>
      <c r="X724" s="54" t="s">
        <v>2987</v>
      </c>
      <c r="Y724" s="377">
        <v>2</v>
      </c>
      <c r="Z724" s="377">
        <v>1</v>
      </c>
      <c r="AA724" s="377">
        <v>1</v>
      </c>
      <c r="AB724" s="377">
        <v>3</v>
      </c>
      <c r="AC724" s="377">
        <v>1</v>
      </c>
    </row>
    <row r="725" spans="1:29" x14ac:dyDescent="0.25">
      <c r="A725" t="s">
        <v>2069</v>
      </c>
      <c r="B725" t="s">
        <v>95</v>
      </c>
      <c r="C725" t="s">
        <v>2877</v>
      </c>
      <c r="D725">
        <v>2023</v>
      </c>
      <c r="E725">
        <v>2022</v>
      </c>
      <c r="F725" t="s">
        <v>1781</v>
      </c>
      <c r="G725" s="259">
        <f t="shared" si="109"/>
        <v>1.1226268817204299</v>
      </c>
      <c r="H725">
        <v>2020</v>
      </c>
      <c r="I725" t="s">
        <v>1783</v>
      </c>
      <c r="J725" t="s">
        <v>1849</v>
      </c>
      <c r="K725" s="336">
        <v>2045</v>
      </c>
      <c r="Q725" s="80">
        <f>$AM$176*1</f>
        <v>12.067850189759177</v>
      </c>
      <c r="X725" s="54" t="s">
        <v>2987</v>
      </c>
      <c r="Y725" s="377">
        <v>2</v>
      </c>
      <c r="Z725" s="377">
        <v>1</v>
      </c>
      <c r="AA725" s="377">
        <v>1</v>
      </c>
      <c r="AB725" s="377">
        <v>3</v>
      </c>
      <c r="AC725" s="377">
        <v>1</v>
      </c>
    </row>
    <row r="726" spans="1:29" x14ac:dyDescent="0.25">
      <c r="A726" t="s">
        <v>2069</v>
      </c>
      <c r="B726" t="s">
        <v>95</v>
      </c>
      <c r="C726" t="s">
        <v>2877</v>
      </c>
      <c r="D726">
        <v>2023</v>
      </c>
      <c r="E726">
        <v>2022</v>
      </c>
      <c r="F726" t="s">
        <v>1781</v>
      </c>
      <c r="G726" s="259">
        <f t="shared" si="109"/>
        <v>1.1226268817204299</v>
      </c>
      <c r="H726">
        <v>2020</v>
      </c>
      <c r="I726" t="s">
        <v>1783</v>
      </c>
      <c r="J726" t="s">
        <v>1849</v>
      </c>
      <c r="K726" s="336">
        <v>2050</v>
      </c>
      <c r="Q726" s="80">
        <f>$AN$176*1</f>
        <v>11.294716170710629</v>
      </c>
      <c r="X726" s="54" t="s">
        <v>2987</v>
      </c>
      <c r="Y726" s="377">
        <v>2</v>
      </c>
      <c r="Z726" s="377">
        <v>1</v>
      </c>
      <c r="AA726" s="377">
        <v>1</v>
      </c>
      <c r="AB726" s="377">
        <v>3</v>
      </c>
      <c r="AC726" s="377">
        <v>1</v>
      </c>
    </row>
    <row r="727" spans="1:29" x14ac:dyDescent="0.25">
      <c r="A727" t="s">
        <v>2070</v>
      </c>
      <c r="B727" t="s">
        <v>95</v>
      </c>
      <c r="C727" t="s">
        <v>2877</v>
      </c>
      <c r="D727">
        <v>2023</v>
      </c>
      <c r="E727">
        <v>2022</v>
      </c>
      <c r="F727" t="s">
        <v>1781</v>
      </c>
      <c r="G727" s="259">
        <f t="shared" si="109"/>
        <v>1.1226268817204299</v>
      </c>
      <c r="H727">
        <v>2020</v>
      </c>
      <c r="I727" t="s">
        <v>1783</v>
      </c>
      <c r="J727" t="s">
        <v>1849</v>
      </c>
      <c r="K727" s="336">
        <v>2021</v>
      </c>
      <c r="R727" s="80">
        <f>$AH$176*1</f>
        <v>20.379669479103523</v>
      </c>
      <c r="X727" s="54" t="s">
        <v>2987</v>
      </c>
      <c r="Y727" s="377">
        <v>2</v>
      </c>
      <c r="Z727" s="377">
        <v>1</v>
      </c>
      <c r="AA727" s="377">
        <v>1</v>
      </c>
      <c r="AB727" s="377">
        <v>3</v>
      </c>
      <c r="AC727" s="377">
        <v>1</v>
      </c>
    </row>
    <row r="728" spans="1:29" x14ac:dyDescent="0.25">
      <c r="A728" t="s">
        <v>2070</v>
      </c>
      <c r="B728" t="s">
        <v>95</v>
      </c>
      <c r="C728" t="s">
        <v>2877</v>
      </c>
      <c r="D728">
        <v>2023</v>
      </c>
      <c r="E728">
        <v>2022</v>
      </c>
      <c r="F728" t="s">
        <v>1781</v>
      </c>
      <c r="G728" s="259">
        <f t="shared" si="109"/>
        <v>1.1226268817204299</v>
      </c>
      <c r="H728">
        <v>2020</v>
      </c>
      <c r="I728" t="s">
        <v>1783</v>
      </c>
      <c r="J728" t="s">
        <v>1849</v>
      </c>
      <c r="K728" s="336">
        <v>2025</v>
      </c>
      <c r="R728" s="80">
        <f>$AI$176*1</f>
        <v>16.899639078184229</v>
      </c>
      <c r="X728" s="54" t="s">
        <v>2987</v>
      </c>
      <c r="Y728" s="377">
        <v>2</v>
      </c>
      <c r="Z728" s="377">
        <v>1</v>
      </c>
      <c r="AA728" s="377">
        <v>1</v>
      </c>
      <c r="AB728" s="377">
        <v>3</v>
      </c>
      <c r="AC728" s="377">
        <v>1</v>
      </c>
    </row>
    <row r="729" spans="1:29" x14ac:dyDescent="0.25">
      <c r="A729" t="s">
        <v>2070</v>
      </c>
      <c r="B729" t="s">
        <v>95</v>
      </c>
      <c r="C729" t="s">
        <v>2877</v>
      </c>
      <c r="D729">
        <v>2023</v>
      </c>
      <c r="E729">
        <v>2022</v>
      </c>
      <c r="F729" t="s">
        <v>1781</v>
      </c>
      <c r="G729" s="259">
        <f t="shared" si="109"/>
        <v>1.1226268817204299</v>
      </c>
      <c r="H729">
        <v>2020</v>
      </c>
      <c r="I729" t="s">
        <v>1783</v>
      </c>
      <c r="J729" t="s">
        <v>1849</v>
      </c>
      <c r="K729" s="336">
        <v>2030</v>
      </c>
      <c r="R729" s="80">
        <f>$AJ$176*1</f>
        <v>14.98745980375382</v>
      </c>
      <c r="X729" s="54" t="s">
        <v>2987</v>
      </c>
      <c r="Y729" s="377">
        <v>2</v>
      </c>
      <c r="Z729" s="377">
        <v>1</v>
      </c>
      <c r="AA729" s="377">
        <v>1</v>
      </c>
      <c r="AB729" s="377">
        <v>3</v>
      </c>
      <c r="AC729" s="377">
        <v>1</v>
      </c>
    </row>
    <row r="730" spans="1:29" x14ac:dyDescent="0.25">
      <c r="A730" t="s">
        <v>2070</v>
      </c>
      <c r="B730" t="s">
        <v>95</v>
      </c>
      <c r="C730" t="s">
        <v>2877</v>
      </c>
      <c r="D730">
        <v>2023</v>
      </c>
      <c r="E730">
        <v>2022</v>
      </c>
      <c r="F730" t="s">
        <v>1781</v>
      </c>
      <c r="G730" s="259">
        <f t="shared" si="109"/>
        <v>1.1226268817204299</v>
      </c>
      <c r="H730">
        <v>2020</v>
      </c>
      <c r="I730" t="s">
        <v>1783</v>
      </c>
      <c r="J730" t="s">
        <v>1849</v>
      </c>
      <c r="K730" s="336">
        <v>2035</v>
      </c>
      <c r="R730" s="80">
        <f>$AK$176*1</f>
        <v>13.9957677535015</v>
      </c>
      <c r="X730" s="54" t="s">
        <v>2987</v>
      </c>
      <c r="Y730" s="377">
        <v>2</v>
      </c>
      <c r="Z730" s="377">
        <v>1</v>
      </c>
      <c r="AA730" s="377">
        <v>1</v>
      </c>
      <c r="AB730" s="377">
        <v>3</v>
      </c>
      <c r="AC730" s="377">
        <v>1</v>
      </c>
    </row>
    <row r="731" spans="1:29" x14ac:dyDescent="0.25">
      <c r="A731" t="s">
        <v>2070</v>
      </c>
      <c r="B731" t="s">
        <v>95</v>
      </c>
      <c r="C731" t="s">
        <v>2877</v>
      </c>
      <c r="D731">
        <v>2023</v>
      </c>
      <c r="E731">
        <v>2022</v>
      </c>
      <c r="F731" t="s">
        <v>1781</v>
      </c>
      <c r="G731" s="259">
        <f t="shared" si="109"/>
        <v>1.1226268817204299</v>
      </c>
      <c r="H731">
        <v>2020</v>
      </c>
      <c r="I731" t="s">
        <v>1783</v>
      </c>
      <c r="J731" t="s">
        <v>1849</v>
      </c>
      <c r="K731" s="336">
        <v>2040</v>
      </c>
      <c r="R731" s="80">
        <f>$AL$176*1</f>
        <v>12.994553564715456</v>
      </c>
      <c r="X731" s="54" t="s">
        <v>2987</v>
      </c>
      <c r="Y731" s="377">
        <v>2</v>
      </c>
      <c r="Z731" s="377">
        <v>1</v>
      </c>
      <c r="AA731" s="377">
        <v>1</v>
      </c>
      <c r="AB731" s="377">
        <v>3</v>
      </c>
      <c r="AC731" s="377">
        <v>1</v>
      </c>
    </row>
    <row r="732" spans="1:29" x14ac:dyDescent="0.25">
      <c r="A732" t="s">
        <v>2070</v>
      </c>
      <c r="B732" t="s">
        <v>95</v>
      </c>
      <c r="C732" t="s">
        <v>2877</v>
      </c>
      <c r="D732">
        <v>2023</v>
      </c>
      <c r="E732">
        <v>2022</v>
      </c>
      <c r="F732" t="s">
        <v>1781</v>
      </c>
      <c r="G732" s="259">
        <f t="shared" si="109"/>
        <v>1.1226268817204299</v>
      </c>
      <c r="H732">
        <v>2020</v>
      </c>
      <c r="I732" t="s">
        <v>1783</v>
      </c>
      <c r="J732" t="s">
        <v>1849</v>
      </c>
      <c r="K732" s="336">
        <v>2045</v>
      </c>
      <c r="R732" s="80">
        <f>$AM$176*1</f>
        <v>12.067850189759177</v>
      </c>
      <c r="X732" s="54" t="s">
        <v>2987</v>
      </c>
      <c r="Y732" s="377">
        <v>2</v>
      </c>
      <c r="Z732" s="377">
        <v>1</v>
      </c>
      <c r="AA732" s="377">
        <v>1</v>
      </c>
      <c r="AB732" s="377">
        <v>3</v>
      </c>
      <c r="AC732" s="377">
        <v>1</v>
      </c>
    </row>
    <row r="733" spans="1:29" x14ac:dyDescent="0.25">
      <c r="A733" t="s">
        <v>2070</v>
      </c>
      <c r="B733" t="s">
        <v>95</v>
      </c>
      <c r="C733" t="s">
        <v>2877</v>
      </c>
      <c r="D733">
        <v>2023</v>
      </c>
      <c r="E733">
        <v>2022</v>
      </c>
      <c r="F733" t="s">
        <v>1781</v>
      </c>
      <c r="G733" s="259">
        <f t="shared" si="109"/>
        <v>1.1226268817204299</v>
      </c>
      <c r="H733">
        <v>2020</v>
      </c>
      <c r="I733" t="s">
        <v>1783</v>
      </c>
      <c r="J733" t="s">
        <v>1849</v>
      </c>
      <c r="K733" s="336">
        <v>2050</v>
      </c>
      <c r="R733" s="80">
        <f>$AN$176*1</f>
        <v>11.294716170710629</v>
      </c>
      <c r="X733" s="54" t="s">
        <v>2987</v>
      </c>
      <c r="Y733" s="377">
        <v>2</v>
      </c>
      <c r="Z733" s="377">
        <v>1</v>
      </c>
      <c r="AA733" s="377">
        <v>1</v>
      </c>
      <c r="AB733" s="377">
        <v>3</v>
      </c>
      <c r="AC733" s="377">
        <v>1</v>
      </c>
    </row>
    <row r="734" spans="1:29" x14ac:dyDescent="0.25">
      <c r="A734" t="s">
        <v>4084</v>
      </c>
      <c r="B734" t="s">
        <v>95</v>
      </c>
      <c r="C734" t="s">
        <v>2980</v>
      </c>
      <c r="D734">
        <v>2023</v>
      </c>
      <c r="E734">
        <v>2022</v>
      </c>
      <c r="F734" t="s">
        <v>1783</v>
      </c>
      <c r="G734" s="259">
        <f>CAD2022_to_2020</f>
        <v>0.86269644334160445</v>
      </c>
      <c r="H734">
        <v>2020</v>
      </c>
      <c r="I734" t="s">
        <v>1783</v>
      </c>
      <c r="J734" t="s">
        <v>1849</v>
      </c>
      <c r="K734" s="336">
        <v>2021</v>
      </c>
      <c r="Q734" s="80">
        <f>$AJ$165</f>
        <v>9.7657237386269617</v>
      </c>
      <c r="X734" s="54" t="s">
        <v>4754</v>
      </c>
      <c r="Y734" s="377">
        <v>1</v>
      </c>
      <c r="Z734" s="377">
        <v>1</v>
      </c>
      <c r="AA734" s="377">
        <v>1</v>
      </c>
      <c r="AB734" s="377">
        <v>1</v>
      </c>
      <c r="AC734" s="377">
        <v>1</v>
      </c>
    </row>
    <row r="735" spans="1:29" x14ac:dyDescent="0.25">
      <c r="A735" t="s">
        <v>4084</v>
      </c>
      <c r="B735" t="s">
        <v>95</v>
      </c>
      <c r="C735" t="s">
        <v>2877</v>
      </c>
      <c r="D735">
        <v>2023</v>
      </c>
      <c r="E735">
        <v>2022</v>
      </c>
      <c r="F735" t="s">
        <v>1781</v>
      </c>
      <c r="G735" s="259">
        <f t="shared" si="109"/>
        <v>1.1226268817204299</v>
      </c>
      <c r="H735">
        <v>2020</v>
      </c>
      <c r="I735" t="s">
        <v>1783</v>
      </c>
      <c r="J735" t="s">
        <v>1849</v>
      </c>
      <c r="K735" s="336">
        <v>2025</v>
      </c>
      <c r="Q735" s="80">
        <f>$Q$734*AX193</f>
        <v>6.5289207093480064</v>
      </c>
      <c r="X735" s="54" t="s">
        <v>4755</v>
      </c>
      <c r="Y735" s="377">
        <v>2</v>
      </c>
      <c r="Z735" s="377">
        <v>1</v>
      </c>
      <c r="AA735" s="377">
        <v>1</v>
      </c>
      <c r="AB735" s="377">
        <v>3</v>
      </c>
      <c r="AC735" s="377">
        <v>1</v>
      </c>
    </row>
    <row r="736" spans="1:29" x14ac:dyDescent="0.25">
      <c r="A736" t="s">
        <v>4084</v>
      </c>
      <c r="B736" t="s">
        <v>95</v>
      </c>
      <c r="C736" t="s">
        <v>2877</v>
      </c>
      <c r="D736">
        <v>2023</v>
      </c>
      <c r="E736">
        <v>2022</v>
      </c>
      <c r="F736" t="s">
        <v>1781</v>
      </c>
      <c r="G736" s="259">
        <f t="shared" si="109"/>
        <v>1.1226268817204299</v>
      </c>
      <c r="H736">
        <v>2020</v>
      </c>
      <c r="I736" t="s">
        <v>1783</v>
      </c>
      <c r="J736" t="s">
        <v>1849</v>
      </c>
      <c r="K736" s="336">
        <v>2030</v>
      </c>
      <c r="Q736" s="80">
        <f t="shared" ref="Q736:Q740" si="110">$Q$734*AX194</f>
        <v>5.586025925202919</v>
      </c>
      <c r="X736" s="54" t="s">
        <v>4755</v>
      </c>
      <c r="Y736" s="377">
        <v>2</v>
      </c>
      <c r="Z736" s="377">
        <v>1</v>
      </c>
      <c r="AA736" s="377">
        <v>1</v>
      </c>
      <c r="AB736" s="377">
        <v>3</v>
      </c>
      <c r="AC736" s="377">
        <v>1</v>
      </c>
    </row>
    <row r="737" spans="1:29" x14ac:dyDescent="0.25">
      <c r="A737" t="s">
        <v>4084</v>
      </c>
      <c r="B737" t="s">
        <v>95</v>
      </c>
      <c r="C737" t="s">
        <v>2877</v>
      </c>
      <c r="D737">
        <v>2023</v>
      </c>
      <c r="E737">
        <v>2022</v>
      </c>
      <c r="F737" t="s">
        <v>1781</v>
      </c>
      <c r="G737" s="259">
        <f t="shared" si="109"/>
        <v>1.1226268817204299</v>
      </c>
      <c r="H737">
        <v>2020</v>
      </c>
      <c r="I737" t="s">
        <v>1783</v>
      </c>
      <c r="J737" t="s">
        <v>1849</v>
      </c>
      <c r="K737" s="336">
        <v>2035</v>
      </c>
      <c r="Q737" s="80">
        <f t="shared" si="110"/>
        <v>6.0812364203085716</v>
      </c>
      <c r="X737" s="54" t="s">
        <v>4755</v>
      </c>
      <c r="Y737" s="377">
        <v>2</v>
      </c>
      <c r="Z737" s="377">
        <v>1</v>
      </c>
      <c r="AA737" s="377">
        <v>1</v>
      </c>
      <c r="AB737" s="377">
        <v>3</v>
      </c>
      <c r="AC737" s="377">
        <v>1</v>
      </c>
    </row>
    <row r="738" spans="1:29" x14ac:dyDescent="0.25">
      <c r="A738" t="s">
        <v>4084</v>
      </c>
      <c r="B738" t="s">
        <v>95</v>
      </c>
      <c r="C738" t="s">
        <v>2877</v>
      </c>
      <c r="D738">
        <v>2023</v>
      </c>
      <c r="E738">
        <v>2022</v>
      </c>
      <c r="F738" t="s">
        <v>1781</v>
      </c>
      <c r="G738" s="259">
        <f t="shared" si="109"/>
        <v>1.1226268817204299</v>
      </c>
      <c r="H738">
        <v>2020</v>
      </c>
      <c r="I738" t="s">
        <v>1783</v>
      </c>
      <c r="J738" t="s">
        <v>1849</v>
      </c>
      <c r="K738" s="336">
        <v>2040</v>
      </c>
      <c r="Q738" s="80">
        <f t="shared" si="110"/>
        <v>6.3773029567921542</v>
      </c>
      <c r="X738" s="54" t="s">
        <v>4755</v>
      </c>
      <c r="Y738" s="377">
        <v>2</v>
      </c>
      <c r="Z738" s="377">
        <v>1</v>
      </c>
      <c r="AA738" s="377">
        <v>1</v>
      </c>
      <c r="AB738" s="377">
        <v>3</v>
      </c>
      <c r="AC738" s="377">
        <v>1</v>
      </c>
    </row>
    <row r="739" spans="1:29" x14ac:dyDescent="0.25">
      <c r="A739" t="s">
        <v>4084</v>
      </c>
      <c r="B739" t="s">
        <v>95</v>
      </c>
      <c r="C739" t="s">
        <v>2877</v>
      </c>
      <c r="D739">
        <v>2023</v>
      </c>
      <c r="E739">
        <v>2022</v>
      </c>
      <c r="F739" t="s">
        <v>1781</v>
      </c>
      <c r="G739" s="259">
        <f t="shared" si="109"/>
        <v>1.1226268817204299</v>
      </c>
      <c r="H739">
        <v>2020</v>
      </c>
      <c r="I739" t="s">
        <v>1783</v>
      </c>
      <c r="J739" t="s">
        <v>1849</v>
      </c>
      <c r="K739" s="336">
        <v>2045</v>
      </c>
      <c r="Q739" s="80">
        <f t="shared" si="110"/>
        <v>6.2669736120583339</v>
      </c>
      <c r="X739" s="54" t="s">
        <v>4755</v>
      </c>
      <c r="Y739" s="377">
        <v>2</v>
      </c>
      <c r="Z739" s="377">
        <v>1</v>
      </c>
      <c r="AA739" s="377">
        <v>1</v>
      </c>
      <c r="AB739" s="377">
        <v>3</v>
      </c>
      <c r="AC739" s="377">
        <v>1</v>
      </c>
    </row>
    <row r="740" spans="1:29" x14ac:dyDescent="0.25">
      <c r="A740" t="s">
        <v>4084</v>
      </c>
      <c r="B740" t="s">
        <v>95</v>
      </c>
      <c r="C740" t="s">
        <v>2877</v>
      </c>
      <c r="D740">
        <v>2023</v>
      </c>
      <c r="E740">
        <v>2022</v>
      </c>
      <c r="F740" t="s">
        <v>1781</v>
      </c>
      <c r="G740" s="259">
        <f t="shared" si="109"/>
        <v>1.1226268817204299</v>
      </c>
      <c r="H740">
        <v>2020</v>
      </c>
      <c r="I740" t="s">
        <v>1783</v>
      </c>
      <c r="J740" t="s">
        <v>1849</v>
      </c>
      <c r="K740" s="336">
        <v>2050</v>
      </c>
      <c r="Q740" s="80">
        <f t="shared" si="110"/>
        <v>6.0290048042350293</v>
      </c>
      <c r="X740" s="54" t="s">
        <v>4755</v>
      </c>
      <c r="Y740" s="377">
        <v>2</v>
      </c>
      <c r="Z740" s="377">
        <v>1</v>
      </c>
      <c r="AA740" s="377">
        <v>1</v>
      </c>
      <c r="AB740" s="377">
        <v>3</v>
      </c>
      <c r="AC740" s="377">
        <v>1</v>
      </c>
    </row>
    <row r="741" spans="1:29" x14ac:dyDescent="0.25">
      <c r="A741" t="s">
        <v>2072</v>
      </c>
      <c r="B741" t="s">
        <v>95</v>
      </c>
      <c r="C741" t="s">
        <v>2877</v>
      </c>
      <c r="D741">
        <v>2023</v>
      </c>
      <c r="E741">
        <v>2022</v>
      </c>
      <c r="F741" t="s">
        <v>1781</v>
      </c>
      <c r="G741" s="259">
        <f t="shared" si="109"/>
        <v>1.1226268817204299</v>
      </c>
      <c r="H741">
        <v>2020</v>
      </c>
      <c r="I741" t="s">
        <v>1783</v>
      </c>
      <c r="J741" t="s">
        <v>1849</v>
      </c>
      <c r="K741" s="336">
        <v>2021</v>
      </c>
      <c r="Q741" s="80">
        <f>$AH$175</f>
        <v>11.732612178089143</v>
      </c>
      <c r="X741" s="54" t="s">
        <v>2978</v>
      </c>
      <c r="Y741" s="377">
        <v>2</v>
      </c>
      <c r="Z741" s="377">
        <v>1</v>
      </c>
      <c r="AA741" s="377">
        <v>1</v>
      </c>
      <c r="AB741" s="377">
        <v>3</v>
      </c>
      <c r="AC741" s="377">
        <v>1</v>
      </c>
    </row>
    <row r="742" spans="1:29" x14ac:dyDescent="0.25">
      <c r="A742" t="s">
        <v>2072</v>
      </c>
      <c r="B742" t="s">
        <v>95</v>
      </c>
      <c r="C742" t="s">
        <v>2877</v>
      </c>
      <c r="D742">
        <v>2023</v>
      </c>
      <c r="E742">
        <v>2022</v>
      </c>
      <c r="F742" t="s">
        <v>1781</v>
      </c>
      <c r="G742" s="259">
        <f t="shared" si="109"/>
        <v>1.1226268817204299</v>
      </c>
      <c r="H742">
        <v>2020</v>
      </c>
      <c r="I742" t="s">
        <v>1783</v>
      </c>
      <c r="J742" t="s">
        <v>1849</v>
      </c>
      <c r="K742" s="336">
        <v>2025</v>
      </c>
      <c r="Q742" s="80">
        <f>$AI$175</f>
        <v>14.837368810888524</v>
      </c>
      <c r="X742" s="54" t="s">
        <v>2978</v>
      </c>
      <c r="Y742" s="377">
        <v>2</v>
      </c>
      <c r="Z742" s="377">
        <v>1</v>
      </c>
      <c r="AA742" s="377">
        <v>1</v>
      </c>
      <c r="AB742" s="377">
        <v>3</v>
      </c>
      <c r="AC742" s="377">
        <v>1</v>
      </c>
    </row>
    <row r="743" spans="1:29" x14ac:dyDescent="0.25">
      <c r="A743" t="s">
        <v>2072</v>
      </c>
      <c r="B743" t="s">
        <v>95</v>
      </c>
      <c r="C743" t="s">
        <v>2877</v>
      </c>
      <c r="D743">
        <v>2023</v>
      </c>
      <c r="E743">
        <v>2022</v>
      </c>
      <c r="F743" t="s">
        <v>1781</v>
      </c>
      <c r="G743" s="259">
        <f t="shared" si="109"/>
        <v>1.1226268817204299</v>
      </c>
      <c r="H743">
        <v>2020</v>
      </c>
      <c r="I743" t="s">
        <v>1783</v>
      </c>
      <c r="J743" t="s">
        <v>1849</v>
      </c>
      <c r="K743" s="336">
        <v>2030</v>
      </c>
      <c r="Q743" s="80">
        <f>$AJ$175</f>
        <v>14.870364845745021</v>
      </c>
      <c r="X743" s="54" t="s">
        <v>2978</v>
      </c>
      <c r="Y743" s="377">
        <v>2</v>
      </c>
      <c r="Z743" s="377">
        <v>1</v>
      </c>
      <c r="AA743" s="377">
        <v>1</v>
      </c>
      <c r="AB743" s="377">
        <v>3</v>
      </c>
      <c r="AC743" s="377">
        <v>1</v>
      </c>
    </row>
    <row r="744" spans="1:29" x14ac:dyDescent="0.25">
      <c r="A744" t="s">
        <v>2072</v>
      </c>
      <c r="B744" t="s">
        <v>95</v>
      </c>
      <c r="C744" t="s">
        <v>2877</v>
      </c>
      <c r="D744">
        <v>2023</v>
      </c>
      <c r="E744">
        <v>2022</v>
      </c>
      <c r="F744" t="s">
        <v>1781</v>
      </c>
      <c r="G744" s="259">
        <f t="shared" si="109"/>
        <v>1.1226268817204299</v>
      </c>
      <c r="H744">
        <v>2020</v>
      </c>
      <c r="I744" t="s">
        <v>1783</v>
      </c>
      <c r="J744" t="s">
        <v>1849</v>
      </c>
      <c r="K744" s="336">
        <v>2035</v>
      </c>
      <c r="Q744" s="80">
        <f>$AK$175</f>
        <v>15.491231899942415</v>
      </c>
      <c r="X744" s="54" t="s">
        <v>2978</v>
      </c>
      <c r="Y744" s="377">
        <v>2</v>
      </c>
      <c r="Z744" s="377">
        <v>1</v>
      </c>
      <c r="AA744" s="377">
        <v>1</v>
      </c>
      <c r="AB744" s="377">
        <v>3</v>
      </c>
      <c r="AC744" s="377">
        <v>1</v>
      </c>
    </row>
    <row r="745" spans="1:29" x14ac:dyDescent="0.25">
      <c r="A745" t="s">
        <v>2072</v>
      </c>
      <c r="B745" t="s">
        <v>95</v>
      </c>
      <c r="C745" t="s">
        <v>2877</v>
      </c>
      <c r="D745">
        <v>2023</v>
      </c>
      <c r="E745">
        <v>2022</v>
      </c>
      <c r="F745" t="s">
        <v>1781</v>
      </c>
      <c r="G745" s="259">
        <f t="shared" si="109"/>
        <v>1.1226268817204299</v>
      </c>
      <c r="H745">
        <v>2020</v>
      </c>
      <c r="I745" t="s">
        <v>1783</v>
      </c>
      <c r="J745" t="s">
        <v>1849</v>
      </c>
      <c r="K745" s="336">
        <v>2040</v>
      </c>
      <c r="Q745" s="80">
        <f>$AL$175</f>
        <v>15.993541998327302</v>
      </c>
      <c r="X745" s="54" t="s">
        <v>2978</v>
      </c>
      <c r="Y745" s="377">
        <v>2</v>
      </c>
      <c r="Z745" s="377">
        <v>1</v>
      </c>
      <c r="AA745" s="377">
        <v>1</v>
      </c>
      <c r="AB745" s="377">
        <v>3</v>
      </c>
      <c r="AC745" s="377">
        <v>1</v>
      </c>
    </row>
    <row r="746" spans="1:29" x14ac:dyDescent="0.25">
      <c r="A746" t="s">
        <v>2072</v>
      </c>
      <c r="B746" t="s">
        <v>95</v>
      </c>
      <c r="C746" t="s">
        <v>2877</v>
      </c>
      <c r="D746">
        <v>2023</v>
      </c>
      <c r="E746">
        <v>2022</v>
      </c>
      <c r="F746" t="s">
        <v>1781</v>
      </c>
      <c r="G746" s="259">
        <f t="shared" si="109"/>
        <v>1.1226268817204299</v>
      </c>
      <c r="H746">
        <v>2020</v>
      </c>
      <c r="I746" t="s">
        <v>1783</v>
      </c>
      <c r="J746" t="s">
        <v>1849</v>
      </c>
      <c r="K746" s="336">
        <v>2045</v>
      </c>
      <c r="Q746" s="80">
        <f>$AM$175</f>
        <v>16.225168629986008</v>
      </c>
      <c r="X746" s="54" t="s">
        <v>2978</v>
      </c>
      <c r="Y746" s="377">
        <v>2</v>
      </c>
      <c r="Z746" s="377">
        <v>1</v>
      </c>
      <c r="AA746" s="377">
        <v>1</v>
      </c>
      <c r="AB746" s="377">
        <v>3</v>
      </c>
      <c r="AC746" s="377">
        <v>1</v>
      </c>
    </row>
    <row r="747" spans="1:29" x14ac:dyDescent="0.25">
      <c r="A747" t="s">
        <v>2072</v>
      </c>
      <c r="B747" t="s">
        <v>95</v>
      </c>
      <c r="C747" t="s">
        <v>2877</v>
      </c>
      <c r="D747">
        <v>2023</v>
      </c>
      <c r="E747">
        <v>2022</v>
      </c>
      <c r="F747" t="s">
        <v>1781</v>
      </c>
      <c r="G747" s="259">
        <f t="shared" si="109"/>
        <v>1.1226268817204299</v>
      </c>
      <c r="H747">
        <v>2020</v>
      </c>
      <c r="I747" t="s">
        <v>1783</v>
      </c>
      <c r="J747" t="s">
        <v>1849</v>
      </c>
      <c r="K747" s="336">
        <v>2050</v>
      </c>
      <c r="Q747" s="80">
        <f>$AN$175</f>
        <v>16.673981738868154</v>
      </c>
      <c r="X747" s="54" t="s">
        <v>2978</v>
      </c>
      <c r="Y747" s="377">
        <v>2</v>
      </c>
      <c r="Z747" s="377">
        <v>1</v>
      </c>
      <c r="AA747" s="377">
        <v>1</v>
      </c>
      <c r="AB747" s="377">
        <v>3</v>
      </c>
      <c r="AC747" s="377">
        <v>1</v>
      </c>
    </row>
    <row r="748" spans="1:29" x14ac:dyDescent="0.25">
      <c r="A748" t="s">
        <v>2071</v>
      </c>
      <c r="B748" t="s">
        <v>95</v>
      </c>
      <c r="C748" t="s">
        <v>2877</v>
      </c>
      <c r="D748">
        <v>2023</v>
      </c>
      <c r="E748">
        <v>2022</v>
      </c>
      <c r="F748" t="s">
        <v>1781</v>
      </c>
      <c r="G748" s="259">
        <f t="shared" si="109"/>
        <v>1.1226268817204299</v>
      </c>
      <c r="H748">
        <v>2020</v>
      </c>
      <c r="I748" t="s">
        <v>1783</v>
      </c>
      <c r="J748" t="s">
        <v>1849</v>
      </c>
      <c r="K748" s="336">
        <v>2021</v>
      </c>
      <c r="Q748" s="80">
        <f>Q692*0.88</f>
        <v>27.383365425971874</v>
      </c>
      <c r="X748" s="54" t="s">
        <v>2880</v>
      </c>
      <c r="Y748" s="377">
        <v>2</v>
      </c>
      <c r="Z748" s="377">
        <v>1</v>
      </c>
      <c r="AA748" s="377">
        <v>1</v>
      </c>
      <c r="AB748" s="377">
        <v>3</v>
      </c>
      <c r="AC748" s="377">
        <v>2</v>
      </c>
    </row>
    <row r="749" spans="1:29" x14ac:dyDescent="0.25">
      <c r="A749" t="s">
        <v>2071</v>
      </c>
      <c r="B749" t="s">
        <v>95</v>
      </c>
      <c r="C749" t="s">
        <v>2877</v>
      </c>
      <c r="D749">
        <v>2023</v>
      </c>
      <c r="E749">
        <v>2022</v>
      </c>
      <c r="F749" t="s">
        <v>1781</v>
      </c>
      <c r="G749" s="259">
        <f t="shared" si="109"/>
        <v>1.1226268817204299</v>
      </c>
      <c r="H749">
        <v>2020</v>
      </c>
      <c r="I749" t="s">
        <v>1783</v>
      </c>
      <c r="J749" t="s">
        <v>1849</v>
      </c>
      <c r="K749" s="336">
        <v>2025</v>
      </c>
      <c r="Q749" s="80">
        <f t="shared" ref="Q749:Q754" si="111">Q693*0.88</f>
        <v>20.813225972546817</v>
      </c>
      <c r="X749" s="54" t="s">
        <v>2880</v>
      </c>
      <c r="Y749" s="377">
        <v>2</v>
      </c>
      <c r="Z749" s="377">
        <v>1</v>
      </c>
      <c r="AA749" s="377">
        <v>1</v>
      </c>
      <c r="AB749" s="377">
        <v>3</v>
      </c>
      <c r="AC749" s="377">
        <v>2</v>
      </c>
    </row>
    <row r="750" spans="1:29" x14ac:dyDescent="0.25">
      <c r="A750" t="s">
        <v>2071</v>
      </c>
      <c r="B750" t="s">
        <v>95</v>
      </c>
      <c r="C750" t="s">
        <v>2877</v>
      </c>
      <c r="D750">
        <v>2023</v>
      </c>
      <c r="E750">
        <v>2022</v>
      </c>
      <c r="F750" t="s">
        <v>1781</v>
      </c>
      <c r="G750" s="259">
        <f t="shared" si="109"/>
        <v>1.1226268817204299</v>
      </c>
      <c r="H750">
        <v>2020</v>
      </c>
      <c r="I750" t="s">
        <v>1783</v>
      </c>
      <c r="J750" t="s">
        <v>1849</v>
      </c>
      <c r="K750" s="336">
        <v>2030</v>
      </c>
      <c r="Q750" s="80">
        <f t="shared" si="111"/>
        <v>19.041287276403018</v>
      </c>
      <c r="X750" s="54" t="s">
        <v>2880</v>
      </c>
      <c r="Y750" s="377">
        <v>2</v>
      </c>
      <c r="Z750" s="377">
        <v>1</v>
      </c>
      <c r="AA750" s="377">
        <v>1</v>
      </c>
      <c r="AB750" s="377">
        <v>3</v>
      </c>
      <c r="AC750" s="377">
        <v>2</v>
      </c>
    </row>
    <row r="751" spans="1:29" x14ac:dyDescent="0.25">
      <c r="A751" t="s">
        <v>2071</v>
      </c>
      <c r="B751" t="s">
        <v>95</v>
      </c>
      <c r="C751" t="s">
        <v>2877</v>
      </c>
      <c r="D751">
        <v>2023</v>
      </c>
      <c r="E751">
        <v>2022</v>
      </c>
      <c r="F751" t="s">
        <v>1781</v>
      </c>
      <c r="G751" s="259">
        <f t="shared" si="109"/>
        <v>1.1226268817204299</v>
      </c>
      <c r="H751">
        <v>2020</v>
      </c>
      <c r="I751" t="s">
        <v>1783</v>
      </c>
      <c r="J751" t="s">
        <v>1849</v>
      </c>
      <c r="K751" s="336">
        <v>2035</v>
      </c>
      <c r="Q751" s="80">
        <f t="shared" si="111"/>
        <v>19.72139703859046</v>
      </c>
      <c r="X751" s="54" t="s">
        <v>2880</v>
      </c>
      <c r="Y751" s="377">
        <v>2</v>
      </c>
      <c r="Z751" s="377">
        <v>1</v>
      </c>
      <c r="AA751" s="377">
        <v>1</v>
      </c>
      <c r="AB751" s="377">
        <v>3</v>
      </c>
      <c r="AC751" s="377">
        <v>2</v>
      </c>
    </row>
    <row r="752" spans="1:29" x14ac:dyDescent="0.25">
      <c r="A752" t="s">
        <v>2071</v>
      </c>
      <c r="B752" t="s">
        <v>95</v>
      </c>
      <c r="C752" t="s">
        <v>2877</v>
      </c>
      <c r="D752">
        <v>2023</v>
      </c>
      <c r="E752">
        <v>2022</v>
      </c>
      <c r="F752" t="s">
        <v>1781</v>
      </c>
      <c r="G752" s="259">
        <f t="shared" si="109"/>
        <v>1.1226268817204299</v>
      </c>
      <c r="H752">
        <v>2020</v>
      </c>
      <c r="I752" t="s">
        <v>1783</v>
      </c>
      <c r="J752" t="s">
        <v>1849</v>
      </c>
      <c r="K752" s="336">
        <v>2040</v>
      </c>
      <c r="Q752" s="80">
        <f t="shared" si="111"/>
        <v>20.118340583002173</v>
      </c>
      <c r="X752" s="54" t="s">
        <v>2880</v>
      </c>
      <c r="Y752" s="377">
        <v>2</v>
      </c>
      <c r="Z752" s="377">
        <v>1</v>
      </c>
      <c r="AA752" s="377">
        <v>1</v>
      </c>
      <c r="AB752" s="377">
        <v>3</v>
      </c>
      <c r="AC752" s="377">
        <v>2</v>
      </c>
    </row>
    <row r="753" spans="1:29" x14ac:dyDescent="0.25">
      <c r="A753" t="s">
        <v>2071</v>
      </c>
      <c r="B753" t="s">
        <v>95</v>
      </c>
      <c r="C753" t="s">
        <v>2877</v>
      </c>
      <c r="D753">
        <v>2023</v>
      </c>
      <c r="E753">
        <v>2022</v>
      </c>
      <c r="F753" t="s">
        <v>1781</v>
      </c>
      <c r="G753" s="259">
        <f t="shared" si="109"/>
        <v>1.1226268817204299</v>
      </c>
      <c r="H753">
        <v>2020</v>
      </c>
      <c r="I753" t="s">
        <v>1783</v>
      </c>
      <c r="J753" t="s">
        <v>1849</v>
      </c>
      <c r="K753" s="336">
        <v>2045</v>
      </c>
      <c r="Q753" s="80">
        <f t="shared" si="111"/>
        <v>20.422546145057865</v>
      </c>
      <c r="X753" s="54" t="s">
        <v>2880</v>
      </c>
      <c r="Y753" s="377">
        <v>2</v>
      </c>
      <c r="Z753" s="377">
        <v>1</v>
      </c>
      <c r="AA753" s="377">
        <v>1</v>
      </c>
      <c r="AB753" s="377">
        <v>3</v>
      </c>
      <c r="AC753" s="377">
        <v>2</v>
      </c>
    </row>
    <row r="754" spans="1:29" x14ac:dyDescent="0.25">
      <c r="A754" t="s">
        <v>2071</v>
      </c>
      <c r="B754" t="s">
        <v>95</v>
      </c>
      <c r="C754" t="s">
        <v>2877</v>
      </c>
      <c r="D754">
        <v>2023</v>
      </c>
      <c r="E754">
        <v>2022</v>
      </c>
      <c r="F754" t="s">
        <v>1781</v>
      </c>
      <c r="G754" s="259">
        <f t="shared" si="109"/>
        <v>1.1226268817204299</v>
      </c>
      <c r="H754">
        <v>2020</v>
      </c>
      <c r="I754" t="s">
        <v>1783</v>
      </c>
      <c r="J754" t="s">
        <v>1849</v>
      </c>
      <c r="K754" s="336">
        <v>2050</v>
      </c>
      <c r="Q754" s="80">
        <f t="shared" si="111"/>
        <v>20.83572039762738</v>
      </c>
      <c r="X754" s="54" t="s">
        <v>2880</v>
      </c>
      <c r="Y754" s="377">
        <v>2</v>
      </c>
      <c r="Z754" s="377">
        <v>1</v>
      </c>
      <c r="AA754" s="377">
        <v>1</v>
      </c>
      <c r="AB754" s="377">
        <v>3</v>
      </c>
      <c r="AC754" s="377">
        <v>2</v>
      </c>
    </row>
    <row r="755" spans="1:29" x14ac:dyDescent="0.25">
      <c r="A755" t="s">
        <v>2073</v>
      </c>
      <c r="B755" t="s">
        <v>95</v>
      </c>
      <c r="C755" t="s">
        <v>2979</v>
      </c>
      <c r="D755">
        <v>2023</v>
      </c>
      <c r="E755">
        <v>2022</v>
      </c>
      <c r="F755" t="s">
        <v>1781</v>
      </c>
      <c r="G755" s="259">
        <f t="shared" si="109"/>
        <v>1.1226268817204299</v>
      </c>
      <c r="H755">
        <v>2020</v>
      </c>
      <c r="I755" t="s">
        <v>1783</v>
      </c>
      <c r="J755" t="s">
        <v>1849</v>
      </c>
      <c r="K755" s="336">
        <v>2021</v>
      </c>
      <c r="Q755" s="80">
        <f>$AH$187+$AH$188</f>
        <v>26.578466794260162</v>
      </c>
      <c r="X755" s="54" t="s">
        <v>2988</v>
      </c>
      <c r="Y755" s="377">
        <v>2</v>
      </c>
      <c r="Z755" s="377">
        <v>1</v>
      </c>
      <c r="AA755" s="377">
        <v>1</v>
      </c>
      <c r="AB755" s="377">
        <v>3</v>
      </c>
      <c r="AC755" s="377">
        <v>1</v>
      </c>
    </row>
    <row r="756" spans="1:29" x14ac:dyDescent="0.25">
      <c r="A756" t="s">
        <v>2073</v>
      </c>
      <c r="B756" t="s">
        <v>95</v>
      </c>
      <c r="C756" t="s">
        <v>2979</v>
      </c>
      <c r="D756">
        <v>2023</v>
      </c>
      <c r="E756">
        <v>2022</v>
      </c>
      <c r="F756" t="s">
        <v>1781</v>
      </c>
      <c r="G756" s="259">
        <f t="shared" si="109"/>
        <v>1.1226268817204299</v>
      </c>
      <c r="H756">
        <v>2020</v>
      </c>
      <c r="I756" t="s">
        <v>1783</v>
      </c>
      <c r="J756" t="s">
        <v>1849</v>
      </c>
      <c r="K756" s="336">
        <v>2025</v>
      </c>
      <c r="Q756" s="80">
        <f>$AI$187+$AI$188</f>
        <v>19.823306279005241</v>
      </c>
      <c r="X756" s="54" t="s">
        <v>2988</v>
      </c>
      <c r="Y756" s="377">
        <v>2</v>
      </c>
      <c r="Z756" s="377">
        <v>1</v>
      </c>
      <c r="AA756" s="377">
        <v>1</v>
      </c>
      <c r="AB756" s="377">
        <v>3</v>
      </c>
      <c r="AC756" s="377">
        <v>1</v>
      </c>
    </row>
    <row r="757" spans="1:29" x14ac:dyDescent="0.25">
      <c r="A757" t="s">
        <v>2073</v>
      </c>
      <c r="B757" t="s">
        <v>95</v>
      </c>
      <c r="C757" t="s">
        <v>2979</v>
      </c>
      <c r="D757">
        <v>2023</v>
      </c>
      <c r="E757">
        <v>2022</v>
      </c>
      <c r="F757" t="s">
        <v>1781</v>
      </c>
      <c r="G757" s="259">
        <f t="shared" si="109"/>
        <v>1.1226268817204299</v>
      </c>
      <c r="H757">
        <v>2020</v>
      </c>
      <c r="I757" t="s">
        <v>1783</v>
      </c>
      <c r="J757" t="s">
        <v>1849</v>
      </c>
      <c r="K757" s="336">
        <v>2030</v>
      </c>
      <c r="Q757" s="80">
        <f>$AJ$187+$AJ$188</f>
        <v>19.496186782253609</v>
      </c>
      <c r="X757" s="54" t="s">
        <v>2988</v>
      </c>
      <c r="Y757" s="377">
        <v>2</v>
      </c>
      <c r="Z757" s="377">
        <v>1</v>
      </c>
      <c r="AA757" s="377">
        <v>1</v>
      </c>
      <c r="AB757" s="377">
        <v>3</v>
      </c>
      <c r="AC757" s="377">
        <v>1</v>
      </c>
    </row>
    <row r="758" spans="1:29" x14ac:dyDescent="0.25">
      <c r="A758" t="s">
        <v>2073</v>
      </c>
      <c r="B758" t="s">
        <v>95</v>
      </c>
      <c r="C758" t="s">
        <v>2979</v>
      </c>
      <c r="D758">
        <v>2023</v>
      </c>
      <c r="E758">
        <v>2022</v>
      </c>
      <c r="F758" t="s">
        <v>1781</v>
      </c>
      <c r="G758" s="259">
        <f t="shared" si="109"/>
        <v>1.1226268817204299</v>
      </c>
      <c r="H758">
        <v>2020</v>
      </c>
      <c r="I758" t="s">
        <v>1783</v>
      </c>
      <c r="J758" t="s">
        <v>1849</v>
      </c>
      <c r="K758" s="336">
        <v>2035</v>
      </c>
      <c r="Q758" s="80">
        <f>$AK$187+$AK$188</f>
        <v>20.251636437413897</v>
      </c>
      <c r="X758" s="54" t="s">
        <v>2988</v>
      </c>
      <c r="Y758" s="377">
        <v>2</v>
      </c>
      <c r="Z758" s="377">
        <v>1</v>
      </c>
      <c r="AA758" s="377">
        <v>1</v>
      </c>
      <c r="AB758" s="377">
        <v>3</v>
      </c>
      <c r="AC758" s="377">
        <v>1</v>
      </c>
    </row>
    <row r="759" spans="1:29" x14ac:dyDescent="0.25">
      <c r="A759" t="s">
        <v>2073</v>
      </c>
      <c r="B759" t="s">
        <v>95</v>
      </c>
      <c r="C759" t="s">
        <v>2979</v>
      </c>
      <c r="D759">
        <v>2023</v>
      </c>
      <c r="E759">
        <v>2022</v>
      </c>
      <c r="F759" t="s">
        <v>1781</v>
      </c>
      <c r="G759" s="259">
        <f t="shared" si="109"/>
        <v>1.1226268817204299</v>
      </c>
      <c r="H759">
        <v>2020</v>
      </c>
      <c r="I759" t="s">
        <v>1783</v>
      </c>
      <c r="J759" t="s">
        <v>1849</v>
      </c>
      <c r="K759" s="336">
        <v>2040</v>
      </c>
      <c r="Q759" s="80">
        <f>$AL$187+$AL$188</f>
        <v>20.822766364862051</v>
      </c>
      <c r="X759" s="54" t="s">
        <v>2988</v>
      </c>
      <c r="Y759" s="377">
        <v>2</v>
      </c>
      <c r="Z759" s="377">
        <v>1</v>
      </c>
      <c r="AA759" s="377">
        <v>1</v>
      </c>
      <c r="AB759" s="377">
        <v>3</v>
      </c>
      <c r="AC759" s="377">
        <v>1</v>
      </c>
    </row>
    <row r="760" spans="1:29" x14ac:dyDescent="0.25">
      <c r="A760" t="s">
        <v>2073</v>
      </c>
      <c r="B760" t="s">
        <v>95</v>
      </c>
      <c r="C760" t="s">
        <v>2979</v>
      </c>
      <c r="D760">
        <v>2023</v>
      </c>
      <c r="E760">
        <v>2022</v>
      </c>
      <c r="F760" t="s">
        <v>1781</v>
      </c>
      <c r="G760" s="259">
        <f t="shared" si="109"/>
        <v>1.1226268817204299</v>
      </c>
      <c r="H760">
        <v>2020</v>
      </c>
      <c r="I760" t="s">
        <v>1783</v>
      </c>
      <c r="J760" t="s">
        <v>1849</v>
      </c>
      <c r="K760" s="336">
        <v>2045</v>
      </c>
      <c r="Q760" s="80">
        <f>$AM$187+$AM$188</f>
        <v>21.340697884862152</v>
      </c>
      <c r="X760" s="54" t="s">
        <v>2988</v>
      </c>
      <c r="Y760" s="377">
        <v>2</v>
      </c>
      <c r="Z760" s="377">
        <v>1</v>
      </c>
      <c r="AA760" s="377">
        <v>1</v>
      </c>
      <c r="AB760" s="377">
        <v>3</v>
      </c>
      <c r="AC760" s="377">
        <v>1</v>
      </c>
    </row>
    <row r="761" spans="1:29" x14ac:dyDescent="0.25">
      <c r="A761" t="s">
        <v>2073</v>
      </c>
      <c r="B761" t="s">
        <v>95</v>
      </c>
      <c r="C761" t="s">
        <v>2979</v>
      </c>
      <c r="D761">
        <v>2023</v>
      </c>
      <c r="E761">
        <v>2022</v>
      </c>
      <c r="F761" t="s">
        <v>1781</v>
      </c>
      <c r="G761" s="259">
        <f t="shared" si="109"/>
        <v>1.1226268817204299</v>
      </c>
      <c r="H761">
        <v>2020</v>
      </c>
      <c r="I761" t="s">
        <v>1783</v>
      </c>
      <c r="J761" t="s">
        <v>1849</v>
      </c>
      <c r="K761" s="336">
        <v>2050</v>
      </c>
      <c r="Q761" s="80">
        <f>$AN$187+$AN$188</f>
        <v>21.867050181084533</v>
      </c>
      <c r="X761" s="54" t="s">
        <v>2988</v>
      </c>
      <c r="Y761" s="377">
        <v>2</v>
      </c>
      <c r="Z761" s="377">
        <v>1</v>
      </c>
      <c r="AA761" s="377">
        <v>1</v>
      </c>
      <c r="AB761" s="377">
        <v>3</v>
      </c>
      <c r="AC761" s="377">
        <v>1</v>
      </c>
    </row>
    <row r="762" spans="1:29" x14ac:dyDescent="0.25">
      <c r="A762" t="s">
        <v>2078</v>
      </c>
      <c r="B762" t="s">
        <v>95</v>
      </c>
      <c r="C762" t="s">
        <v>2829</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2881</v>
      </c>
      <c r="Y762" s="377">
        <v>2</v>
      </c>
      <c r="Z762" s="377">
        <v>1</v>
      </c>
      <c r="AA762" s="377">
        <v>1</v>
      </c>
      <c r="AB762" s="377">
        <v>3</v>
      </c>
      <c r="AC762" s="377">
        <v>1</v>
      </c>
    </row>
    <row r="763" spans="1:29" x14ac:dyDescent="0.25">
      <c r="A763" t="s">
        <v>2078</v>
      </c>
      <c r="B763" t="s">
        <v>95</v>
      </c>
      <c r="C763" t="s">
        <v>2829</v>
      </c>
      <c r="D763">
        <v>2023</v>
      </c>
      <c r="E763">
        <v>2020</v>
      </c>
      <c r="F763" t="s">
        <v>1781</v>
      </c>
      <c r="G763" s="259">
        <f t="shared" si="112"/>
        <v>1.3414999999999999</v>
      </c>
      <c r="H763">
        <v>2020</v>
      </c>
      <c r="I763" t="s">
        <v>1783</v>
      </c>
      <c r="J763" t="s">
        <v>1849</v>
      </c>
      <c r="K763" s="336">
        <v>2025</v>
      </c>
      <c r="Q763" s="80">
        <f t="shared" si="113"/>
        <v>53.947379868644688</v>
      </c>
      <c r="X763" s="54" t="s">
        <v>2881</v>
      </c>
      <c r="Y763" s="377">
        <v>2</v>
      </c>
      <c r="Z763" s="377">
        <v>1</v>
      </c>
      <c r="AA763" s="377">
        <v>1</v>
      </c>
      <c r="AB763" s="377">
        <v>3</v>
      </c>
      <c r="AC763" s="377">
        <v>1</v>
      </c>
    </row>
    <row r="764" spans="1:29" x14ac:dyDescent="0.25">
      <c r="A764" t="s">
        <v>2078</v>
      </c>
      <c r="B764" t="s">
        <v>95</v>
      </c>
      <c r="C764" t="s">
        <v>2829</v>
      </c>
      <c r="D764">
        <v>2023</v>
      </c>
      <c r="E764">
        <v>2020</v>
      </c>
      <c r="F764" t="s">
        <v>1781</v>
      </c>
      <c r="G764" s="259">
        <f t="shared" si="112"/>
        <v>1.3414999999999999</v>
      </c>
      <c r="H764">
        <v>2020</v>
      </c>
      <c r="I764" t="s">
        <v>1783</v>
      </c>
      <c r="J764" t="s">
        <v>1849</v>
      </c>
      <c r="K764" s="336">
        <v>2030</v>
      </c>
      <c r="Q764" s="80">
        <f t="shared" si="113"/>
        <v>53.947379868644688</v>
      </c>
      <c r="X764" s="54" t="s">
        <v>2881</v>
      </c>
      <c r="Y764" s="377">
        <v>2</v>
      </c>
      <c r="Z764" s="377">
        <v>1</v>
      </c>
      <c r="AA764" s="377">
        <v>1</v>
      </c>
      <c r="AB764" s="377">
        <v>3</v>
      </c>
      <c r="AC764" s="377">
        <v>1</v>
      </c>
    </row>
    <row r="765" spans="1:29" x14ac:dyDescent="0.25">
      <c r="A765" t="s">
        <v>2078</v>
      </c>
      <c r="B765" t="s">
        <v>95</v>
      </c>
      <c r="C765" t="s">
        <v>2829</v>
      </c>
      <c r="D765">
        <v>2023</v>
      </c>
      <c r="E765">
        <v>2020</v>
      </c>
      <c r="F765" t="s">
        <v>1781</v>
      </c>
      <c r="G765" s="259">
        <f t="shared" si="112"/>
        <v>1.3414999999999999</v>
      </c>
      <c r="H765">
        <v>2020</v>
      </c>
      <c r="I765" t="s">
        <v>1783</v>
      </c>
      <c r="J765" t="s">
        <v>1849</v>
      </c>
      <c r="K765" s="336">
        <v>2035</v>
      </c>
      <c r="Q765" s="80">
        <f t="shared" si="113"/>
        <v>53.947379868644688</v>
      </c>
      <c r="X765" s="54" t="s">
        <v>2881</v>
      </c>
      <c r="Y765" s="377">
        <v>2</v>
      </c>
      <c r="Z765" s="377">
        <v>1</v>
      </c>
      <c r="AA765" s="377">
        <v>1</v>
      </c>
      <c r="AB765" s="377">
        <v>3</v>
      </c>
      <c r="AC765" s="377">
        <v>1</v>
      </c>
    </row>
    <row r="766" spans="1:29" x14ac:dyDescent="0.25">
      <c r="A766" t="s">
        <v>2078</v>
      </c>
      <c r="B766" t="s">
        <v>95</v>
      </c>
      <c r="C766" t="s">
        <v>2829</v>
      </c>
      <c r="D766">
        <v>2023</v>
      </c>
      <c r="E766">
        <v>2020</v>
      </c>
      <c r="F766" t="s">
        <v>1781</v>
      </c>
      <c r="G766" s="259">
        <f t="shared" si="112"/>
        <v>1.3414999999999999</v>
      </c>
      <c r="H766">
        <v>2020</v>
      </c>
      <c r="I766" t="s">
        <v>1783</v>
      </c>
      <c r="J766" t="s">
        <v>1849</v>
      </c>
      <c r="K766" s="336">
        <v>2040</v>
      </c>
      <c r="Q766" s="80">
        <f t="shared" si="113"/>
        <v>53.947379868644688</v>
      </c>
      <c r="X766" s="54" t="s">
        <v>2881</v>
      </c>
      <c r="Y766" s="377">
        <v>2</v>
      </c>
      <c r="Z766" s="377">
        <v>1</v>
      </c>
      <c r="AA766" s="377">
        <v>1</v>
      </c>
      <c r="AB766" s="377">
        <v>3</v>
      </c>
      <c r="AC766" s="377">
        <v>1</v>
      </c>
    </row>
    <row r="767" spans="1:29" x14ac:dyDescent="0.25">
      <c r="A767" t="s">
        <v>2078</v>
      </c>
      <c r="B767" t="s">
        <v>95</v>
      </c>
      <c r="C767" t="s">
        <v>2829</v>
      </c>
      <c r="D767">
        <v>2023</v>
      </c>
      <c r="E767">
        <v>2020</v>
      </c>
      <c r="F767" t="s">
        <v>1781</v>
      </c>
      <c r="G767" s="259">
        <f t="shared" si="112"/>
        <v>1.3414999999999999</v>
      </c>
      <c r="H767">
        <v>2020</v>
      </c>
      <c r="I767" t="s">
        <v>1783</v>
      </c>
      <c r="J767" t="s">
        <v>1849</v>
      </c>
      <c r="K767" s="336">
        <v>2045</v>
      </c>
      <c r="Q767" s="80">
        <f t="shared" si="113"/>
        <v>53.947379868644688</v>
      </c>
      <c r="X767" s="54" t="s">
        <v>2881</v>
      </c>
      <c r="Y767" s="377">
        <v>2</v>
      </c>
      <c r="Z767" s="377">
        <v>1</v>
      </c>
      <c r="AA767" s="377">
        <v>1</v>
      </c>
      <c r="AB767" s="377">
        <v>3</v>
      </c>
      <c r="AC767" s="377">
        <v>1</v>
      </c>
    </row>
    <row r="768" spans="1:29" x14ac:dyDescent="0.25">
      <c r="A768" t="s">
        <v>2078</v>
      </c>
      <c r="B768" t="s">
        <v>95</v>
      </c>
      <c r="C768" t="s">
        <v>2829</v>
      </c>
      <c r="D768">
        <v>2023</v>
      </c>
      <c r="E768">
        <v>2020</v>
      </c>
      <c r="F768" t="s">
        <v>1781</v>
      </c>
      <c r="G768" s="259">
        <f t="shared" si="112"/>
        <v>1.3414999999999999</v>
      </c>
      <c r="H768">
        <v>2020</v>
      </c>
      <c r="I768" t="s">
        <v>1783</v>
      </c>
      <c r="J768" t="s">
        <v>1849</v>
      </c>
      <c r="K768" s="336">
        <v>2050</v>
      </c>
      <c r="Q768" s="80">
        <f t="shared" si="113"/>
        <v>53.947379868644688</v>
      </c>
      <c r="X768" s="54" t="s">
        <v>2881</v>
      </c>
      <c r="Y768" s="377">
        <v>2</v>
      </c>
      <c r="Z768" s="377">
        <v>1</v>
      </c>
      <c r="AA768" s="377">
        <v>1</v>
      </c>
      <c r="AB768" s="377">
        <v>3</v>
      </c>
      <c r="AC768" s="377">
        <v>1</v>
      </c>
    </row>
    <row r="769" spans="1:29" x14ac:dyDescent="0.25">
      <c r="A769" t="s">
        <v>2883</v>
      </c>
      <c r="B769" t="s">
        <v>95</v>
      </c>
      <c r="C769" t="s">
        <v>2896</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4745</v>
      </c>
      <c r="Y769" s="377">
        <v>3</v>
      </c>
      <c r="Z769" s="377">
        <v>1</v>
      </c>
      <c r="AA769" s="377">
        <v>1</v>
      </c>
      <c r="AB769" s="377">
        <v>3</v>
      </c>
      <c r="AC769" s="377">
        <v>1</v>
      </c>
    </row>
    <row r="770" spans="1:29" x14ac:dyDescent="0.25">
      <c r="A770" t="s">
        <v>2883</v>
      </c>
      <c r="B770" t="s">
        <v>95</v>
      </c>
      <c r="C770" t="s">
        <v>2896</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4745</v>
      </c>
      <c r="Y770" s="377">
        <v>3</v>
      </c>
      <c r="Z770" s="377">
        <v>1</v>
      </c>
      <c r="AA770" s="377">
        <v>1</v>
      </c>
      <c r="AB770" s="377">
        <v>3</v>
      </c>
      <c r="AC770" s="377">
        <v>1</v>
      </c>
    </row>
    <row r="771" spans="1:29" x14ac:dyDescent="0.25">
      <c r="A771" t="s">
        <v>2883</v>
      </c>
      <c r="B771" t="s">
        <v>95</v>
      </c>
      <c r="C771" t="s">
        <v>2896</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4745</v>
      </c>
      <c r="Y771" s="377">
        <v>3</v>
      </c>
      <c r="Z771" s="377">
        <v>1</v>
      </c>
      <c r="AA771" s="377">
        <v>1</v>
      </c>
      <c r="AB771" s="377">
        <v>3</v>
      </c>
      <c r="AC771" s="377">
        <v>1</v>
      </c>
    </row>
    <row r="772" spans="1:29" x14ac:dyDescent="0.25">
      <c r="A772" t="s">
        <v>2883</v>
      </c>
      <c r="B772" t="s">
        <v>95</v>
      </c>
      <c r="C772" t="s">
        <v>2896</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4745</v>
      </c>
      <c r="Y772" s="377">
        <v>3</v>
      </c>
      <c r="Z772" s="377">
        <v>1</v>
      </c>
      <c r="AA772" s="377">
        <v>1</v>
      </c>
      <c r="AB772" s="377">
        <v>3</v>
      </c>
      <c r="AC772" s="377">
        <v>1</v>
      </c>
    </row>
    <row r="773" spans="1:29" x14ac:dyDescent="0.25">
      <c r="A773" t="s">
        <v>2883</v>
      </c>
      <c r="B773" t="s">
        <v>95</v>
      </c>
      <c r="C773" t="s">
        <v>2896</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4745</v>
      </c>
      <c r="Y773" s="377">
        <v>3</v>
      </c>
      <c r="Z773" s="377">
        <v>1</v>
      </c>
      <c r="AA773" s="377">
        <v>1</v>
      </c>
      <c r="AB773" s="377">
        <v>3</v>
      </c>
      <c r="AC773" s="377">
        <v>1</v>
      </c>
    </row>
    <row r="774" spans="1:29" x14ac:dyDescent="0.25">
      <c r="A774" t="s">
        <v>2883</v>
      </c>
      <c r="B774" t="s">
        <v>95</v>
      </c>
      <c r="C774" t="s">
        <v>2896</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4745</v>
      </c>
      <c r="Y774" s="377">
        <v>3</v>
      </c>
      <c r="Z774" s="377">
        <v>1</v>
      </c>
      <c r="AA774" s="377">
        <v>1</v>
      </c>
      <c r="AB774" s="377">
        <v>3</v>
      </c>
      <c r="AC774" s="377">
        <v>1</v>
      </c>
    </row>
    <row r="775" spans="1:29" x14ac:dyDescent="0.25">
      <c r="A775" t="s">
        <v>2883</v>
      </c>
      <c r="B775" t="s">
        <v>95</v>
      </c>
      <c r="C775" t="s">
        <v>2896</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4745</v>
      </c>
      <c r="Y775" s="377">
        <v>3</v>
      </c>
      <c r="Z775" s="377">
        <v>1</v>
      </c>
      <c r="AA775" s="377">
        <v>1</v>
      </c>
      <c r="AB775" s="377">
        <v>3</v>
      </c>
      <c r="AC775" s="377">
        <v>1</v>
      </c>
    </row>
    <row r="776" spans="1:29" x14ac:dyDescent="0.25">
      <c r="A776" t="s">
        <v>4693</v>
      </c>
      <c r="B776" t="s">
        <v>95</v>
      </c>
      <c r="C776" t="s">
        <v>4742</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4746</v>
      </c>
      <c r="Y776" s="377">
        <v>3</v>
      </c>
      <c r="Z776" s="377">
        <v>1</v>
      </c>
      <c r="AA776" s="377">
        <v>1</v>
      </c>
      <c r="AB776" s="377">
        <v>3</v>
      </c>
      <c r="AC776" s="377">
        <v>1</v>
      </c>
    </row>
    <row r="777" spans="1:29" x14ac:dyDescent="0.25">
      <c r="A777" t="s">
        <v>4693</v>
      </c>
      <c r="B777" t="s">
        <v>95</v>
      </c>
      <c r="C777" t="s">
        <v>4742</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4746</v>
      </c>
      <c r="Y777" s="377">
        <v>3</v>
      </c>
      <c r="Z777" s="377">
        <v>1</v>
      </c>
      <c r="AA777" s="377">
        <v>1</v>
      </c>
      <c r="AB777" s="377">
        <v>3</v>
      </c>
      <c r="AC777" s="377">
        <v>1</v>
      </c>
    </row>
    <row r="778" spans="1:29" x14ac:dyDescent="0.25">
      <c r="A778" t="s">
        <v>4693</v>
      </c>
      <c r="B778" t="s">
        <v>95</v>
      </c>
      <c r="C778" t="s">
        <v>4742</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4746</v>
      </c>
      <c r="Y778" s="377">
        <v>3</v>
      </c>
      <c r="Z778" s="377">
        <v>1</v>
      </c>
      <c r="AA778" s="377">
        <v>1</v>
      </c>
      <c r="AB778" s="377">
        <v>3</v>
      </c>
      <c r="AC778" s="377">
        <v>1</v>
      </c>
    </row>
    <row r="779" spans="1:29" x14ac:dyDescent="0.25">
      <c r="A779" t="s">
        <v>4693</v>
      </c>
      <c r="B779" t="s">
        <v>95</v>
      </c>
      <c r="C779" t="s">
        <v>4742</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4746</v>
      </c>
      <c r="Y779" s="377">
        <v>3</v>
      </c>
      <c r="Z779" s="377">
        <v>1</v>
      </c>
      <c r="AA779" s="377">
        <v>1</v>
      </c>
      <c r="AB779" s="377">
        <v>3</v>
      </c>
      <c r="AC779" s="377">
        <v>1</v>
      </c>
    </row>
    <row r="780" spans="1:29" x14ac:dyDescent="0.25">
      <c r="A780" t="s">
        <v>4693</v>
      </c>
      <c r="B780" t="s">
        <v>95</v>
      </c>
      <c r="C780" t="s">
        <v>4742</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4746</v>
      </c>
      <c r="Y780" s="377">
        <v>3</v>
      </c>
      <c r="Z780" s="377">
        <v>1</v>
      </c>
      <c r="AA780" s="377">
        <v>1</v>
      </c>
      <c r="AB780" s="377">
        <v>3</v>
      </c>
      <c r="AC780" s="377">
        <v>1</v>
      </c>
    </row>
    <row r="781" spans="1:29" x14ac:dyDescent="0.25">
      <c r="A781" t="s">
        <v>4693</v>
      </c>
      <c r="B781" t="s">
        <v>95</v>
      </c>
      <c r="C781" t="s">
        <v>4742</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4746</v>
      </c>
      <c r="Y781" s="377">
        <v>3</v>
      </c>
      <c r="Z781" s="377">
        <v>1</v>
      </c>
      <c r="AA781" s="377">
        <v>1</v>
      </c>
      <c r="AB781" s="377">
        <v>3</v>
      </c>
      <c r="AC781" s="377">
        <v>1</v>
      </c>
    </row>
    <row r="782" spans="1:29" x14ac:dyDescent="0.25">
      <c r="A782" t="s">
        <v>4693</v>
      </c>
      <c r="B782" t="s">
        <v>95</v>
      </c>
      <c r="C782" t="s">
        <v>4742</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4746</v>
      </c>
      <c r="Y782" s="377">
        <v>3</v>
      </c>
      <c r="Z782" s="377">
        <v>1</v>
      </c>
      <c r="AA782" s="377">
        <v>1</v>
      </c>
      <c r="AB782" s="377">
        <v>3</v>
      </c>
      <c r="AC782" s="377">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57" t="s">
        <v>2080</v>
      </c>
      <c r="J1" s="1059"/>
      <c r="K1" s="54"/>
      <c r="L1" s="1037" t="s">
        <v>147</v>
      </c>
      <c r="M1" s="1038"/>
      <c r="N1" s="1038"/>
      <c r="O1" s="1038"/>
      <c r="P1" s="1038"/>
      <c r="Q1" s="1043" t="s">
        <v>2640</v>
      </c>
      <c r="S1" s="1043" t="s">
        <v>2641</v>
      </c>
      <c r="T1" s="212" t="s">
        <v>4087</v>
      </c>
      <c r="AB1" s="159" t="s">
        <v>2220</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43"/>
      <c r="R2" s="735"/>
      <c r="S2" s="1043"/>
      <c r="T2" s="281" t="s">
        <v>2184</v>
      </c>
      <c r="U2" s="281" t="s">
        <v>2180</v>
      </c>
      <c r="V2" s="281" t="s">
        <v>2181</v>
      </c>
      <c r="W2" s="281" t="s">
        <v>2182</v>
      </c>
      <c r="X2" s="281" t="s">
        <v>2183</v>
      </c>
      <c r="Y2" s="281" t="s">
        <v>10</v>
      </c>
      <c r="Z2" s="281" t="s">
        <v>2179</v>
      </c>
      <c r="AB2" s="281" t="s">
        <v>225</v>
      </c>
      <c r="AC2" s="281" t="s">
        <v>2190</v>
      </c>
      <c r="AD2" s="281" t="s">
        <v>8</v>
      </c>
      <c r="AE2" s="281" t="s">
        <v>14</v>
      </c>
      <c r="AF2" s="281" t="s">
        <v>10</v>
      </c>
      <c r="AH2" s="281" t="s">
        <v>2184</v>
      </c>
      <c r="AI2" s="281" t="s">
        <v>8</v>
      </c>
    </row>
    <row r="3" spans="1:35" ht="15.75" thickTop="1" x14ac:dyDescent="0.25">
      <c r="A3" s="234" t="s">
        <v>2067</v>
      </c>
      <c r="B3" t="s">
        <v>436</v>
      </c>
      <c r="C3" t="s">
        <v>2115</v>
      </c>
      <c r="D3" t="s">
        <v>2035</v>
      </c>
      <c r="E3" t="s">
        <v>95</v>
      </c>
      <c r="F3" t="s">
        <v>4089</v>
      </c>
      <c r="G3">
        <v>2024</v>
      </c>
      <c r="H3" t="s">
        <v>2638</v>
      </c>
      <c r="I3" s="786">
        <f>$U$4+$V$4</f>
        <v>18.308423881293407</v>
      </c>
      <c r="J3" s="787"/>
      <c r="K3" s="52" t="s">
        <v>2650</v>
      </c>
      <c r="L3" s="377">
        <v>1</v>
      </c>
      <c r="M3" s="377">
        <v>1</v>
      </c>
      <c r="N3" s="377">
        <v>1</v>
      </c>
      <c r="O3" s="377">
        <v>2</v>
      </c>
      <c r="P3" s="377">
        <v>1</v>
      </c>
      <c r="Q3" s="1043"/>
      <c r="S3" s="1043"/>
      <c r="T3" t="s">
        <v>108</v>
      </c>
      <c r="U3" s="259">
        <v>20.227635885665897</v>
      </c>
      <c r="V3" s="593">
        <v>5.9345345670634804E-3</v>
      </c>
      <c r="W3" s="593">
        <v>1.04303940737112E-4</v>
      </c>
      <c r="X3" s="593">
        <v>6.0632734279449298E-2</v>
      </c>
      <c r="Y3" s="593">
        <v>1.1850747413351399E-4</v>
      </c>
      <c r="Z3" s="593">
        <v>8.4901129707434008E-9</v>
      </c>
      <c r="AB3" t="s">
        <v>241</v>
      </c>
      <c r="AC3" t="s">
        <v>2487</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2804</v>
      </c>
      <c r="AI3" s="73">
        <f>U3+V3</f>
        <v>20.233570420232962</v>
      </c>
    </row>
    <row r="4" spans="1:35" x14ac:dyDescent="0.25">
      <c r="A4" t="s">
        <v>2082</v>
      </c>
      <c r="B4" t="s">
        <v>436</v>
      </c>
      <c r="C4" t="s">
        <v>2116</v>
      </c>
      <c r="D4" t="s">
        <v>2035</v>
      </c>
      <c r="E4" t="s">
        <v>95</v>
      </c>
      <c r="F4" t="s">
        <v>2126</v>
      </c>
      <c r="G4">
        <v>2023</v>
      </c>
      <c r="H4" t="s">
        <v>2638</v>
      </c>
      <c r="I4" s="786">
        <f>0.5*($AD$25)+0.5*($AD$26)</f>
        <v>16.627586473297196</v>
      </c>
      <c r="J4" s="787"/>
      <c r="K4" s="52" t="s">
        <v>4202</v>
      </c>
      <c r="L4" s="377">
        <v>1</v>
      </c>
      <c r="M4" s="377">
        <v>1</v>
      </c>
      <c r="N4" s="377">
        <v>1</v>
      </c>
      <c r="O4" s="377">
        <v>3</v>
      </c>
      <c r="P4" s="377">
        <v>1</v>
      </c>
      <c r="Q4" s="1043"/>
      <c r="S4" s="1043"/>
      <c r="T4" t="s">
        <v>107</v>
      </c>
      <c r="U4" s="259">
        <v>18.302579623872401</v>
      </c>
      <c r="V4" s="593">
        <v>5.8442574210082398E-3</v>
      </c>
      <c r="W4" s="593">
        <v>1.02717251505522E-4</v>
      </c>
      <c r="X4" s="593">
        <v>6.4770519400493803E-2</v>
      </c>
      <c r="Y4" s="593">
        <v>9.8558613594001605E-5</v>
      </c>
      <c r="Z4" s="593">
        <v>8.3609599327041307E-9</v>
      </c>
      <c r="AB4" t="s">
        <v>2193</v>
      </c>
      <c r="AC4" t="s">
        <v>2194</v>
      </c>
      <c r="AD4" s="73">
        <v>1.4317003726333499</v>
      </c>
      <c r="AE4" s="593">
        <v>0.131961437883691</v>
      </c>
      <c r="AF4" s="593">
        <v>2.8904573798628701E-5</v>
      </c>
      <c r="AH4" t="s">
        <v>2807</v>
      </c>
      <c r="AI4" s="73">
        <f>AD7</f>
        <v>14.88538992142754</v>
      </c>
    </row>
    <row r="5" spans="1:35" x14ac:dyDescent="0.25">
      <c r="A5" t="s">
        <v>2068</v>
      </c>
      <c r="B5" t="s">
        <v>436</v>
      </c>
      <c r="C5" t="s">
        <v>2117</v>
      </c>
      <c r="D5" t="s">
        <v>2035</v>
      </c>
      <c r="E5" t="s">
        <v>95</v>
      </c>
      <c r="F5" t="s">
        <v>4089</v>
      </c>
      <c r="G5">
        <v>2024</v>
      </c>
      <c r="H5" t="s">
        <v>2638</v>
      </c>
      <c r="I5" s="786">
        <f>$U$3+$V$3</f>
        <v>20.233570420232962</v>
      </c>
      <c r="J5" s="787"/>
      <c r="K5" s="52" t="s">
        <v>2649</v>
      </c>
      <c r="L5" s="377">
        <v>1</v>
      </c>
      <c r="M5" s="377">
        <v>1</v>
      </c>
      <c r="N5" s="377">
        <v>1</v>
      </c>
      <c r="O5" s="377">
        <v>2</v>
      </c>
      <c r="P5" s="377">
        <v>1</v>
      </c>
      <c r="Q5" s="1043"/>
      <c r="S5" s="1043"/>
      <c r="T5" t="s">
        <v>241</v>
      </c>
      <c r="U5" s="259">
        <v>8.9759296929246108</v>
      </c>
      <c r="V5" s="593">
        <v>4.5151515622345604E-3</v>
      </c>
      <c r="W5" s="593">
        <v>7.9357209358326701E-5</v>
      </c>
      <c r="X5" s="593">
        <v>0.146889760563642</v>
      </c>
      <c r="Y5" s="593">
        <v>4.5206726286654402E-4</v>
      </c>
      <c r="Z5" s="593">
        <v>6.3819809382671397E-9</v>
      </c>
      <c r="AB5" t="s">
        <v>2195</v>
      </c>
      <c r="AC5" t="s">
        <v>2196</v>
      </c>
      <c r="AD5" s="73">
        <v>9.2757906575467004</v>
      </c>
      <c r="AE5" s="593">
        <v>9.2759784047261498E-2</v>
      </c>
      <c r="AF5" s="593">
        <v>1.63915579439704E-4</v>
      </c>
      <c r="AH5" t="s">
        <v>2805</v>
      </c>
      <c r="AI5" s="73">
        <f>U4+V4</f>
        <v>18.308423881293407</v>
      </c>
    </row>
    <row r="6" spans="1:35" x14ac:dyDescent="0.25">
      <c r="A6" t="s">
        <v>2077</v>
      </c>
      <c r="B6" t="s">
        <v>436</v>
      </c>
      <c r="C6" t="s">
        <v>2118</v>
      </c>
      <c r="D6" t="s">
        <v>2035</v>
      </c>
      <c r="E6" t="s">
        <v>95</v>
      </c>
      <c r="F6" t="s">
        <v>2126</v>
      </c>
      <c r="G6">
        <v>2023</v>
      </c>
      <c r="H6" t="s">
        <v>2638</v>
      </c>
      <c r="I6" s="786">
        <f>$AD$24</f>
        <v>37.55910241364078</v>
      </c>
      <c r="J6" s="787"/>
      <c r="K6" s="52" t="s">
        <v>4203</v>
      </c>
      <c r="L6" s="377">
        <v>1</v>
      </c>
      <c r="M6" s="377">
        <v>1</v>
      </c>
      <c r="N6" s="377">
        <v>1</v>
      </c>
      <c r="O6" s="377">
        <v>3</v>
      </c>
      <c r="P6" s="377">
        <v>1</v>
      </c>
      <c r="Q6" s="1043"/>
      <c r="S6" s="1043"/>
      <c r="T6" t="s">
        <v>233</v>
      </c>
      <c r="U6" s="259">
        <v>17.0855136314572</v>
      </c>
      <c r="V6" s="593">
        <v>4.5151516288922796E-3</v>
      </c>
      <c r="W6" s="593">
        <v>7.9357210529886689E-5</v>
      </c>
      <c r="X6" s="593">
        <v>0.13580940012138501</v>
      </c>
      <c r="Y6" s="593">
        <v>3.6675918264140496E-4</v>
      </c>
      <c r="Z6" s="593">
        <v>6.3819810324850803E-9</v>
      </c>
      <c r="AB6" t="s">
        <v>1592</v>
      </c>
      <c r="AC6" t="s">
        <v>2226</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2808</v>
      </c>
      <c r="AI6" s="73">
        <f>AD6</f>
        <v>11.29842992755842</v>
      </c>
    </row>
    <row r="7" spans="1:35" x14ac:dyDescent="0.25">
      <c r="A7" t="s">
        <v>2069</v>
      </c>
      <c r="B7" t="s">
        <v>436</v>
      </c>
      <c r="C7" t="s">
        <v>2119</v>
      </c>
      <c r="D7" t="s">
        <v>2035</v>
      </c>
      <c r="E7" t="s">
        <v>95</v>
      </c>
      <c r="F7" t="s">
        <v>4089</v>
      </c>
      <c r="G7">
        <v>2024</v>
      </c>
      <c r="H7" t="s">
        <v>2638</v>
      </c>
      <c r="I7" s="786">
        <f>$U$5+$V$5</f>
        <v>8.9804448444868452</v>
      </c>
      <c r="J7" s="787"/>
      <c r="K7" s="52" t="s">
        <v>2649</v>
      </c>
      <c r="L7" s="377">
        <v>1</v>
      </c>
      <c r="M7" s="377">
        <v>1</v>
      </c>
      <c r="N7" s="377">
        <v>1</v>
      </c>
      <c r="O7" s="377">
        <v>2</v>
      </c>
      <c r="P7" s="377">
        <v>1</v>
      </c>
      <c r="Q7" s="1043"/>
      <c r="S7" s="1043"/>
      <c r="T7" t="s">
        <v>2185</v>
      </c>
      <c r="U7" s="259">
        <v>14.3002629451407</v>
      </c>
      <c r="V7" s="593">
        <v>4.77080750210111E-3</v>
      </c>
      <c r="W7" s="593">
        <v>8.3850555986154799E-5</v>
      </c>
      <c r="X7" s="593">
        <v>2.7145214301579099E-2</v>
      </c>
      <c r="Y7" s="593">
        <v>6.2330550954728693E-5</v>
      </c>
      <c r="Z7" s="593">
        <v>6.82525212327663E-9</v>
      </c>
      <c r="AB7" t="s">
        <v>1690</v>
      </c>
      <c r="AC7" t="s">
        <v>2200</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2806</v>
      </c>
      <c r="AI7" s="73">
        <f>U5+V5</f>
        <v>8.9804448444868452</v>
      </c>
    </row>
    <row r="8" spans="1:35" x14ac:dyDescent="0.25">
      <c r="A8" t="s">
        <v>2070</v>
      </c>
      <c r="B8" t="s">
        <v>436</v>
      </c>
      <c r="C8" t="s">
        <v>2120</v>
      </c>
      <c r="D8" t="s">
        <v>2035</v>
      </c>
      <c r="E8" t="s">
        <v>95</v>
      </c>
      <c r="F8" t="s">
        <v>4089</v>
      </c>
      <c r="G8">
        <v>2024</v>
      </c>
      <c r="H8" t="s">
        <v>2638</v>
      </c>
      <c r="I8" s="786"/>
      <c r="J8" s="787">
        <f>$U$6+$V$6</f>
        <v>17.090028783086094</v>
      </c>
      <c r="K8" s="52" t="s">
        <v>2649</v>
      </c>
      <c r="L8" s="377">
        <v>1</v>
      </c>
      <c r="M8" s="377">
        <v>1</v>
      </c>
      <c r="N8" s="377">
        <v>1</v>
      </c>
      <c r="O8" s="377">
        <v>2</v>
      </c>
      <c r="P8" s="377">
        <v>1</v>
      </c>
      <c r="Q8" s="1043"/>
      <c r="S8" s="1043"/>
      <c r="T8" t="s">
        <v>2186</v>
      </c>
      <c r="U8" s="259">
        <v>15.285200669106398</v>
      </c>
      <c r="V8" s="593">
        <v>5.6029121946491603E-3</v>
      </c>
      <c r="W8" s="593">
        <v>9.8475426320603109E-5</v>
      </c>
      <c r="X8" s="593">
        <v>4.6655659257159199E-2</v>
      </c>
      <c r="Y8" s="593">
        <v>6.807271577029611E-5</v>
      </c>
      <c r="Z8" s="593">
        <v>8.0156846270195991E-9</v>
      </c>
      <c r="AB8" t="s">
        <v>1622</v>
      </c>
      <c r="AC8" t="s">
        <v>2555</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2809</v>
      </c>
      <c r="AI8" s="73">
        <f>AD3</f>
        <v>8.0806132770435202</v>
      </c>
    </row>
    <row r="9" spans="1:35" x14ac:dyDescent="0.25">
      <c r="A9" t="s">
        <v>4084</v>
      </c>
      <c r="B9" t="s">
        <v>2897</v>
      </c>
      <c r="C9" t="s">
        <v>4082</v>
      </c>
      <c r="D9" t="s">
        <v>2035</v>
      </c>
      <c r="E9" t="s">
        <v>95</v>
      </c>
      <c r="F9" t="s">
        <v>4089</v>
      </c>
      <c r="G9">
        <v>2024</v>
      </c>
      <c r="H9" t="s">
        <v>2638</v>
      </c>
      <c r="I9" s="786">
        <f>$U$10+$V$10</f>
        <v>6.1100277824868439</v>
      </c>
      <c r="J9" s="787"/>
      <c r="K9" s="52" t="s">
        <v>2649</v>
      </c>
      <c r="L9" s="377">
        <v>1</v>
      </c>
      <c r="M9" s="377">
        <v>1</v>
      </c>
      <c r="N9" s="377">
        <v>1</v>
      </c>
      <c r="O9" s="377">
        <v>2</v>
      </c>
      <c r="P9" s="377">
        <v>1</v>
      </c>
      <c r="Q9" s="1043"/>
      <c r="S9" s="1043"/>
      <c r="T9" t="s">
        <v>2187</v>
      </c>
      <c r="U9" s="259">
        <v>18.510842838005402</v>
      </c>
      <c r="V9" s="593">
        <v>7.4718381734266599E-3</v>
      </c>
      <c r="W9" s="593">
        <v>1.3132321595907601E-4</v>
      </c>
      <c r="X9" s="593">
        <v>9.6576432576485099E-2</v>
      </c>
      <c r="Y9" s="593">
        <v>1.1584639979148899E-4</v>
      </c>
      <c r="Z9" s="593">
        <v>1.1562753255207301E-8</v>
      </c>
      <c r="AB9" t="s">
        <v>2185</v>
      </c>
      <c r="AC9" t="s">
        <v>2557</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2638</v>
      </c>
      <c r="I10" s="786">
        <f>$AD$12</f>
        <v>9.7975053745496545</v>
      </c>
      <c r="J10" s="787"/>
      <c r="K10" s="52" t="s">
        <v>2651</v>
      </c>
      <c r="L10" s="377">
        <v>1</v>
      </c>
      <c r="M10" s="377">
        <v>1</v>
      </c>
      <c r="N10" s="377">
        <v>1</v>
      </c>
      <c r="O10" s="377">
        <v>3</v>
      </c>
      <c r="P10" s="377">
        <v>1</v>
      </c>
      <c r="Q10" s="1043"/>
      <c r="S10" s="1043"/>
      <c r="T10" t="s">
        <v>250</v>
      </c>
      <c r="U10" s="259">
        <v>6.1055126309246095</v>
      </c>
      <c r="V10" s="593">
        <v>4.5151515622345604E-3</v>
      </c>
      <c r="W10" s="593">
        <v>7.9357209358326701E-5</v>
      </c>
      <c r="X10" s="593">
        <v>0.13580919156364202</v>
      </c>
      <c r="Y10" s="593">
        <v>3.6675916286654401E-4</v>
      </c>
      <c r="Z10" s="593">
        <v>6.3819809382671397E-9</v>
      </c>
      <c r="AB10" t="s">
        <v>233</v>
      </c>
      <c r="AC10" t="s">
        <v>2359</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2638</v>
      </c>
      <c r="I11" s="786">
        <f>$AD$8</f>
        <v>10.159300521098094</v>
      </c>
      <c r="J11" s="787"/>
      <c r="K11" s="52" t="s">
        <v>2652</v>
      </c>
      <c r="L11" s="377">
        <v>1</v>
      </c>
      <c r="M11" s="377">
        <v>1</v>
      </c>
      <c r="N11" s="377">
        <v>1</v>
      </c>
      <c r="O11" s="377">
        <v>3</v>
      </c>
      <c r="P11" s="377">
        <v>1</v>
      </c>
      <c r="Q11" s="1043"/>
      <c r="S11" s="1043"/>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4089</v>
      </c>
      <c r="G12">
        <v>2024</v>
      </c>
      <c r="H12" t="s">
        <v>2638</v>
      </c>
      <c r="I12" s="786">
        <f>$U$7+$V$7</f>
        <v>14.305033752642801</v>
      </c>
      <c r="J12" s="787"/>
      <c r="K12" s="52" t="s">
        <v>2649</v>
      </c>
      <c r="L12" s="377">
        <v>1</v>
      </c>
      <c r="M12" s="377">
        <v>1</v>
      </c>
      <c r="N12" s="377">
        <v>1</v>
      </c>
      <c r="O12" s="377">
        <v>2</v>
      </c>
      <c r="P12" s="377">
        <v>1</v>
      </c>
      <c r="Q12" s="1043"/>
      <c r="S12" s="1043"/>
      <c r="T12" s="1086" t="s">
        <v>2188</v>
      </c>
      <c r="U12" s="1086"/>
      <c r="V12" s="1086"/>
      <c r="W12" s="1086"/>
      <c r="X12" s="1086"/>
      <c r="Y12" s="1086"/>
      <c r="Z12" s="1086"/>
      <c r="AB12" t="s">
        <v>1623</v>
      </c>
      <c r="AC12" t="s">
        <v>2556</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2638</v>
      </c>
      <c r="I13" s="786">
        <f>AVERAGE($AD$27:$AD$30)</f>
        <v>24.698788231031379</v>
      </c>
      <c r="J13" s="787"/>
      <c r="K13" s="52" t="s">
        <v>4204</v>
      </c>
      <c r="L13" s="377">
        <v>1</v>
      </c>
      <c r="M13" s="377">
        <v>1</v>
      </c>
      <c r="N13" s="377">
        <v>1</v>
      </c>
      <c r="O13" s="377">
        <v>3</v>
      </c>
      <c r="P13" s="377">
        <v>2</v>
      </c>
      <c r="Q13" s="1043"/>
      <c r="S13" s="1043"/>
      <c r="T13" s="1086"/>
      <c r="U13" s="1086"/>
      <c r="V13" s="1086"/>
      <c r="W13" s="1086"/>
      <c r="X13" s="1086"/>
      <c r="Y13" s="1086"/>
      <c r="Z13" s="1086"/>
      <c r="AB13" t="s">
        <v>2203</v>
      </c>
      <c r="AC13" t="s">
        <v>2204</v>
      </c>
      <c r="AD13" s="73">
        <v>5.2515964506978401</v>
      </c>
      <c r="AE13" s="593">
        <v>0.18517637477361901</v>
      </c>
      <c r="AF13" s="593">
        <v>1.2150619986363699E-3</v>
      </c>
    </row>
    <row r="14" spans="1:35" x14ac:dyDescent="0.25">
      <c r="A14" t="s">
        <v>2084</v>
      </c>
      <c r="B14" t="s">
        <v>2115</v>
      </c>
      <c r="C14" t="s">
        <v>2029</v>
      </c>
      <c r="D14" t="s">
        <v>2035</v>
      </c>
      <c r="E14" t="s">
        <v>95</v>
      </c>
      <c r="F14" t="s">
        <v>4089</v>
      </c>
      <c r="G14">
        <v>2024</v>
      </c>
      <c r="H14" t="s">
        <v>2638</v>
      </c>
      <c r="I14" s="786">
        <f>($U$21+$V$21)-I3</f>
        <v>69.930639404915425</v>
      </c>
      <c r="J14" s="787"/>
      <c r="K14" s="52" t="s">
        <v>2648</v>
      </c>
      <c r="L14" s="377">
        <v>1</v>
      </c>
      <c r="M14" s="377">
        <v>1</v>
      </c>
      <c r="N14" s="377">
        <v>1</v>
      </c>
      <c r="O14" s="377">
        <v>2</v>
      </c>
      <c r="P14" s="377">
        <v>1</v>
      </c>
      <c r="Q14" s="1043"/>
      <c r="S14" s="1043"/>
      <c r="T14" s="1086"/>
      <c r="U14" s="1086"/>
      <c r="V14" s="1086"/>
      <c r="W14" s="1086"/>
      <c r="X14" s="1086"/>
      <c r="Y14" s="1086"/>
      <c r="Z14" s="1086"/>
      <c r="AB14" t="s">
        <v>2206</v>
      </c>
      <c r="AC14" t="s">
        <v>2207</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2638</v>
      </c>
      <c r="I15" s="786">
        <f>0.5*($AD$41+$AG$25)+0.5*($AD$54+$AG$26)</f>
        <v>0</v>
      </c>
      <c r="J15" s="787"/>
      <c r="K15" s="52" t="s">
        <v>4235</v>
      </c>
      <c r="L15" s="377">
        <v>1</v>
      </c>
      <c r="M15" s="377">
        <v>1</v>
      </c>
      <c r="N15" s="377">
        <v>1</v>
      </c>
      <c r="O15" s="377">
        <v>3</v>
      </c>
      <c r="P15" s="377">
        <v>1</v>
      </c>
      <c r="Q15" s="1043"/>
      <c r="S15" s="1043"/>
      <c r="T15" s="1086"/>
      <c r="U15" s="1086"/>
      <c r="V15" s="1086"/>
      <c r="W15" s="1086"/>
      <c r="X15" s="1086"/>
      <c r="Y15" s="1086"/>
      <c r="Z15" s="1086"/>
      <c r="AB15" t="s">
        <v>2214</v>
      </c>
      <c r="AC15" t="s">
        <v>2215</v>
      </c>
      <c r="AD15" s="73">
        <v>2.0690141165057701</v>
      </c>
      <c r="AE15" s="593">
        <v>3.1565470730824299E-3</v>
      </c>
      <c r="AF15" s="593">
        <v>2.0050463735924499E-3</v>
      </c>
    </row>
    <row r="16" spans="1:35" ht="14.45" customHeight="1" x14ac:dyDescent="0.25">
      <c r="A16" t="s">
        <v>2086</v>
      </c>
      <c r="B16" t="s">
        <v>2117</v>
      </c>
      <c r="C16" t="s">
        <v>2027</v>
      </c>
      <c r="D16" t="s">
        <v>2035</v>
      </c>
      <c r="E16" t="s">
        <v>95</v>
      </c>
      <c r="F16" t="s">
        <v>4089</v>
      </c>
      <c r="G16">
        <v>2024</v>
      </c>
      <c r="H16" t="s">
        <v>2638</v>
      </c>
      <c r="I16" s="786">
        <f>($U$20+$V$20)-I5</f>
        <v>69.050429605047725</v>
      </c>
      <c r="J16" s="787"/>
      <c r="K16" s="52" t="s">
        <v>2648</v>
      </c>
      <c r="L16" s="377">
        <v>1</v>
      </c>
      <c r="M16" s="377">
        <v>1</v>
      </c>
      <c r="N16" s="377">
        <v>1</v>
      </c>
      <c r="O16" s="377">
        <v>2</v>
      </c>
      <c r="P16" s="377">
        <v>1</v>
      </c>
      <c r="Q16" s="1043"/>
      <c r="S16" s="1043"/>
      <c r="T16" s="1086"/>
      <c r="U16" s="1086"/>
      <c r="V16" s="1086"/>
      <c r="W16" s="1086"/>
      <c r="X16" s="1086"/>
      <c r="Y16" s="1086"/>
      <c r="Z16" s="1086"/>
      <c r="AB16" s="1086" t="s">
        <v>2552</v>
      </c>
      <c r="AC16" s="1086"/>
      <c r="AD16" s="1086"/>
      <c r="AE16" s="1086"/>
      <c r="AF16" s="1086"/>
    </row>
    <row r="17" spans="1:38" x14ac:dyDescent="0.25">
      <c r="A17" t="s">
        <v>2087</v>
      </c>
      <c r="B17" t="s">
        <v>2118</v>
      </c>
      <c r="C17" t="s">
        <v>2028</v>
      </c>
      <c r="D17" t="s">
        <v>2035</v>
      </c>
      <c r="E17" t="s">
        <v>95</v>
      </c>
      <c r="F17" t="s">
        <v>2126</v>
      </c>
      <c r="G17">
        <v>2023</v>
      </c>
      <c r="H17" t="s">
        <v>2638</v>
      </c>
      <c r="I17" s="786">
        <v>0</v>
      </c>
      <c r="J17" s="787"/>
      <c r="K17" s="52" t="s">
        <v>4236</v>
      </c>
      <c r="L17" s="377">
        <v>1</v>
      </c>
      <c r="M17" s="377">
        <v>1</v>
      </c>
      <c r="N17" s="377">
        <v>1</v>
      </c>
      <c r="O17" s="377">
        <v>3</v>
      </c>
      <c r="P17" s="377">
        <v>1</v>
      </c>
      <c r="Q17" s="1043"/>
      <c r="S17" s="1043"/>
      <c r="T17" s="350"/>
      <c r="U17" s="350"/>
      <c r="V17" s="350"/>
      <c r="W17" s="350"/>
      <c r="X17" s="350"/>
      <c r="Y17" s="350"/>
      <c r="Z17" s="350"/>
      <c r="AB17" s="1086"/>
      <c r="AC17" s="1086"/>
      <c r="AD17" s="1086"/>
      <c r="AE17" s="1086"/>
      <c r="AF17" s="1086"/>
    </row>
    <row r="18" spans="1:38" ht="15.75" x14ac:dyDescent="0.25">
      <c r="A18" t="s">
        <v>2088</v>
      </c>
      <c r="B18" t="s">
        <v>2119</v>
      </c>
      <c r="C18" t="s">
        <v>2055</v>
      </c>
      <c r="D18" t="s">
        <v>2035</v>
      </c>
      <c r="E18" t="s">
        <v>95</v>
      </c>
      <c r="F18" t="s">
        <v>4089</v>
      </c>
      <c r="G18">
        <v>2024</v>
      </c>
      <c r="H18" t="s">
        <v>2638</v>
      </c>
      <c r="I18" s="786">
        <f>($U$22+$V$22)-I7</f>
        <v>49.494584999999887</v>
      </c>
      <c r="J18" s="787"/>
      <c r="K18" s="52" t="s">
        <v>2648</v>
      </c>
      <c r="L18" s="377">
        <v>1</v>
      </c>
      <c r="M18" s="377">
        <v>1</v>
      </c>
      <c r="N18" s="377">
        <v>1</v>
      </c>
      <c r="O18" s="377">
        <v>2</v>
      </c>
      <c r="P18" s="377">
        <v>1</v>
      </c>
      <c r="Q18" s="1043"/>
      <c r="S18" s="1043"/>
      <c r="T18" s="212" t="s">
        <v>4088</v>
      </c>
      <c r="AB18" s="1086"/>
      <c r="AC18" s="1086"/>
      <c r="AD18" s="1086"/>
      <c r="AE18" s="1086"/>
      <c r="AF18" s="1086"/>
      <c r="AH18" s="593"/>
    </row>
    <row r="19" spans="1:38" ht="15.75" thickBot="1" x14ac:dyDescent="0.3">
      <c r="A19" t="s">
        <v>2089</v>
      </c>
      <c r="B19" t="s">
        <v>2120</v>
      </c>
      <c r="C19" t="s">
        <v>2060</v>
      </c>
      <c r="D19" t="s">
        <v>2035</v>
      </c>
      <c r="E19" t="s">
        <v>95</v>
      </c>
      <c r="F19" t="s">
        <v>4089</v>
      </c>
      <c r="G19">
        <v>2024</v>
      </c>
      <c r="H19" t="s">
        <v>2638</v>
      </c>
      <c r="I19" s="786"/>
      <c r="J19" s="787">
        <f>($U$23+$V$23)-J8</f>
        <v>49.643510000000006</v>
      </c>
      <c r="K19" s="52" t="s">
        <v>2648</v>
      </c>
      <c r="L19" s="377">
        <v>1</v>
      </c>
      <c r="M19" s="377">
        <v>1</v>
      </c>
      <c r="N19" s="377">
        <v>1</v>
      </c>
      <c r="O19" s="377">
        <v>2</v>
      </c>
      <c r="P19" s="377">
        <v>1</v>
      </c>
      <c r="Q19" s="1043"/>
      <c r="S19" s="1043"/>
      <c r="T19" s="88" t="s">
        <v>2184</v>
      </c>
      <c r="U19" s="88" t="s">
        <v>2180</v>
      </c>
      <c r="V19" s="88" t="s">
        <v>2181</v>
      </c>
      <c r="W19" s="88" t="s">
        <v>2182</v>
      </c>
      <c r="X19" s="88" t="s">
        <v>2183</v>
      </c>
      <c r="Y19" s="88" t="s">
        <v>10</v>
      </c>
      <c r="Z19" s="88" t="s">
        <v>2179</v>
      </c>
      <c r="AB19" s="1086"/>
      <c r="AC19" s="1086"/>
      <c r="AD19" s="1086"/>
      <c r="AE19" s="1086"/>
      <c r="AF19" s="1086"/>
      <c r="AH19" s="593"/>
    </row>
    <row r="20" spans="1:38" ht="15.75" thickTop="1" x14ac:dyDescent="0.25">
      <c r="A20" t="s">
        <v>4085</v>
      </c>
      <c r="B20" t="s">
        <v>4082</v>
      </c>
      <c r="C20" t="s">
        <v>4083</v>
      </c>
      <c r="D20" t="s">
        <v>2035</v>
      </c>
      <c r="E20" t="s">
        <v>95</v>
      </c>
      <c r="F20" t="s">
        <v>4089</v>
      </c>
      <c r="G20">
        <v>2024</v>
      </c>
      <c r="H20" t="s">
        <v>2638</v>
      </c>
      <c r="I20" s="786">
        <f>($U$27+$V$27)-I9</f>
        <v>49.643509999999893</v>
      </c>
      <c r="J20" s="787"/>
      <c r="K20" s="52" t="s">
        <v>2889</v>
      </c>
      <c r="L20" s="377">
        <v>1</v>
      </c>
      <c r="M20" s="377">
        <v>1</v>
      </c>
      <c r="N20" s="377">
        <v>1</v>
      </c>
      <c r="O20" s="377">
        <v>2</v>
      </c>
      <c r="P20" s="377">
        <v>1</v>
      </c>
      <c r="Q20" s="1043"/>
      <c r="S20" s="1043"/>
      <c r="T20" t="s">
        <v>108</v>
      </c>
      <c r="U20" s="259">
        <v>89.278059753003404</v>
      </c>
      <c r="V20" s="593">
        <v>5.9402722772798197E-3</v>
      </c>
      <c r="W20" s="593">
        <v>1.04404785340781E-4</v>
      </c>
      <c r="X20" s="593">
        <v>7.6040016950176204E-2</v>
      </c>
      <c r="Y20" s="593">
        <v>3.6228352156040902E-3</v>
      </c>
      <c r="Z20" s="593">
        <v>8.4983215012321196E-9</v>
      </c>
      <c r="AB20" s="1086"/>
      <c r="AC20" s="1086"/>
      <c r="AD20" s="1086"/>
      <c r="AE20" s="1086"/>
      <c r="AF20" s="1086"/>
      <c r="AK20" s="593"/>
    </row>
    <row r="21" spans="1:38" x14ac:dyDescent="0.25">
      <c r="A21" t="s">
        <v>2090</v>
      </c>
      <c r="B21" t="s">
        <v>2121</v>
      </c>
      <c r="C21" t="s">
        <v>2058</v>
      </c>
      <c r="D21" t="s">
        <v>2035</v>
      </c>
      <c r="E21" t="s">
        <v>95</v>
      </c>
      <c r="F21" t="s">
        <v>2126</v>
      </c>
      <c r="G21">
        <v>2023</v>
      </c>
      <c r="H21" t="s">
        <v>2638</v>
      </c>
      <c r="I21" s="786">
        <f>$AD$52</f>
        <v>72.116455655279083</v>
      </c>
      <c r="J21" s="787"/>
      <c r="K21" s="52" t="s">
        <v>2654</v>
      </c>
      <c r="L21" s="377">
        <v>1</v>
      </c>
      <c r="M21" s="377">
        <v>1</v>
      </c>
      <c r="N21" s="377">
        <v>1</v>
      </c>
      <c r="O21" s="377">
        <v>3</v>
      </c>
      <c r="P21" s="377">
        <v>1</v>
      </c>
      <c r="Q21" s="1043"/>
      <c r="S21" s="1043"/>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2638</v>
      </c>
      <c r="I22" s="786">
        <f>$AD$48</f>
        <v>75.034540596790293</v>
      </c>
      <c r="J22" s="787"/>
      <c r="K22" s="52" t="s">
        <v>2655</v>
      </c>
      <c r="L22" s="377">
        <v>1</v>
      </c>
      <c r="M22" s="377">
        <v>1</v>
      </c>
      <c r="N22" s="377">
        <v>1</v>
      </c>
      <c r="O22" s="377">
        <v>3</v>
      </c>
      <c r="P22" s="377">
        <v>1</v>
      </c>
      <c r="Q22" s="1043"/>
      <c r="S22" s="1043"/>
      <c r="T22" t="s">
        <v>241</v>
      </c>
      <c r="U22" s="259">
        <v>58.470514692924496</v>
      </c>
      <c r="V22" s="593">
        <v>4.5151515622345604E-3</v>
      </c>
      <c r="W22" s="593">
        <v>7.9357209358326701E-5</v>
      </c>
      <c r="X22" s="593">
        <v>0.38133776056364199</v>
      </c>
      <c r="Y22" s="593">
        <v>2.01505726286654E-3</v>
      </c>
      <c r="Z22" s="593">
        <v>6.3819809382671397E-9</v>
      </c>
      <c r="AB22" s="159" t="s">
        <v>2565</v>
      </c>
    </row>
    <row r="23" spans="1:38" ht="15.75" thickBot="1" x14ac:dyDescent="0.3">
      <c r="A23" t="s">
        <v>2092</v>
      </c>
      <c r="B23" t="s">
        <v>2123</v>
      </c>
      <c r="C23" t="s">
        <v>2030</v>
      </c>
      <c r="D23" t="s">
        <v>2035</v>
      </c>
      <c r="E23" t="s">
        <v>95</v>
      </c>
      <c r="F23" t="s">
        <v>4089</v>
      </c>
      <c r="G23">
        <v>2024</v>
      </c>
      <c r="H23" t="s">
        <v>2638</v>
      </c>
      <c r="I23" s="786">
        <f>($U$24+$V$24)-I12</f>
        <v>68.589107723784537</v>
      </c>
      <c r="J23" s="787"/>
      <c r="K23" s="52" t="s">
        <v>2648</v>
      </c>
      <c r="L23" s="377">
        <v>1</v>
      </c>
      <c r="M23" s="377">
        <v>1</v>
      </c>
      <c r="N23" s="377">
        <v>1</v>
      </c>
      <c r="O23" s="377">
        <v>2</v>
      </c>
      <c r="P23" s="377">
        <v>1</v>
      </c>
      <c r="Q23" s="1043"/>
      <c r="S23" s="1043"/>
      <c r="T23" t="s">
        <v>233</v>
      </c>
      <c r="U23" s="259">
        <v>66.72902363145721</v>
      </c>
      <c r="V23" s="593">
        <v>4.5151516288922796E-3</v>
      </c>
      <c r="W23" s="593">
        <v>7.9357210529886689E-5</v>
      </c>
      <c r="X23" s="593">
        <v>0.14113234012138501</v>
      </c>
      <c r="Y23" s="593">
        <v>1.3394771826414002E-3</v>
      </c>
      <c r="Z23" s="593">
        <v>6.3819810324850803E-9</v>
      </c>
      <c r="AB23" s="88" t="s">
        <v>2610</v>
      </c>
      <c r="AC23" s="88" t="s">
        <v>2190</v>
      </c>
      <c r="AD23" s="88" t="s">
        <v>8</v>
      </c>
      <c r="AE23" s="88" t="s">
        <v>14</v>
      </c>
      <c r="AF23" s="88" t="s">
        <v>10</v>
      </c>
      <c r="AG23" s="88" t="s">
        <v>2564</v>
      </c>
    </row>
    <row r="24" spans="1:38" ht="15.75" thickTop="1" x14ac:dyDescent="0.25">
      <c r="A24" t="s">
        <v>2093</v>
      </c>
      <c r="B24" t="s">
        <v>2124</v>
      </c>
      <c r="C24" t="s">
        <v>2031</v>
      </c>
      <c r="D24" t="s">
        <v>2035</v>
      </c>
      <c r="E24" t="s">
        <v>95</v>
      </c>
      <c r="F24" t="s">
        <v>2126</v>
      </c>
      <c r="G24">
        <v>2023</v>
      </c>
      <c r="H24" t="s">
        <v>2638</v>
      </c>
      <c r="I24" s="786">
        <v>0</v>
      </c>
      <c r="J24" s="787"/>
      <c r="K24" s="52" t="s">
        <v>4237</v>
      </c>
      <c r="L24" s="377">
        <v>1</v>
      </c>
      <c r="M24" s="377">
        <v>1</v>
      </c>
      <c r="N24" s="377">
        <v>1</v>
      </c>
      <c r="O24" s="377">
        <v>3</v>
      </c>
      <c r="P24" s="377">
        <v>2</v>
      </c>
      <c r="Q24" s="1043"/>
      <c r="S24" s="1043"/>
      <c r="T24" t="s">
        <v>2185</v>
      </c>
      <c r="U24" s="259">
        <v>82.889356959100596</v>
      </c>
      <c r="V24" s="593">
        <v>4.7845173267460602E-3</v>
      </c>
      <c r="W24" s="593">
        <v>8.409151654020051E-5</v>
      </c>
      <c r="X24" s="593">
        <v>2.7966709935075801E-2</v>
      </c>
      <c r="Y24" s="593">
        <v>1.9690445272155001E-3</v>
      </c>
      <c r="Z24" s="593">
        <v>6.8448657861055094E-9</v>
      </c>
      <c r="AB24" t="s">
        <v>2198</v>
      </c>
      <c r="AC24" t="s">
        <v>2199</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4089</v>
      </c>
      <c r="G25">
        <v>2024</v>
      </c>
      <c r="H25" t="s">
        <v>2646</v>
      </c>
      <c r="I25" s="786">
        <f>$W$4+$X$4</f>
        <v>6.487323665199933E-2</v>
      </c>
      <c r="J25" s="787"/>
      <c r="K25" s="52" t="s">
        <v>2650</v>
      </c>
      <c r="L25" s="377">
        <v>1</v>
      </c>
      <c r="M25" s="377">
        <v>1</v>
      </c>
      <c r="N25" s="377">
        <v>1</v>
      </c>
      <c r="O25" s="377">
        <v>2</v>
      </c>
      <c r="P25" s="377">
        <v>1</v>
      </c>
      <c r="Q25" s="1043"/>
      <c r="S25" s="1043"/>
      <c r="T25" t="s">
        <v>2186</v>
      </c>
      <c r="U25" s="259">
        <v>89.759943688498694</v>
      </c>
      <c r="V25" s="593">
        <v>5.6145723715773704E-3</v>
      </c>
      <c r="W25" s="593">
        <v>9.8680362763311602E-5</v>
      </c>
      <c r="X25" s="593">
        <v>5.0126491936288306E-2</v>
      </c>
      <c r="Y25" s="593">
        <v>1.7217820827724901E-3</v>
      </c>
      <c r="Z25" s="593">
        <v>8.0323660058641708E-9</v>
      </c>
      <c r="AB25" t="s">
        <v>2191</v>
      </c>
      <c r="AC25" t="s">
        <v>2192</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2646</v>
      </c>
      <c r="I26" s="786">
        <f>0.5*($AE$25)+0.5*($AE$26)</f>
        <v>3.6544056590097067E-2</v>
      </c>
      <c r="J26" s="787"/>
      <c r="K26" s="52" t="s">
        <v>2657</v>
      </c>
      <c r="L26" s="377">
        <v>1</v>
      </c>
      <c r="M26" s="377">
        <v>1</v>
      </c>
      <c r="N26" s="377">
        <v>1</v>
      </c>
      <c r="O26" s="377">
        <v>3</v>
      </c>
      <c r="P26" s="377">
        <v>1</v>
      </c>
      <c r="Q26" s="1043"/>
      <c r="S26" s="1043"/>
      <c r="T26" t="s">
        <v>2187</v>
      </c>
      <c r="U26" s="259">
        <v>89.577582346721599</v>
      </c>
      <c r="V26" s="593">
        <v>7.4804777803026004E-3</v>
      </c>
      <c r="W26" s="593">
        <v>1.3147506359458902E-4</v>
      </c>
      <c r="X26" s="593">
        <v>9.7479034615544496E-2</v>
      </c>
      <c r="Y26" s="593">
        <v>4.40474243362747E-4</v>
      </c>
      <c r="Z26" s="593">
        <v>1.15761231436083E-8</v>
      </c>
      <c r="AB26" t="s">
        <v>2216</v>
      </c>
      <c r="AC26" t="s">
        <v>2218</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4089</v>
      </c>
      <c r="G27">
        <v>2024</v>
      </c>
      <c r="H27" t="s">
        <v>2646</v>
      </c>
      <c r="I27" s="786">
        <f>$W$3+$X$3</f>
        <v>6.0737038220186411E-2</v>
      </c>
      <c r="J27" s="787"/>
      <c r="K27" s="52" t="s">
        <v>2649</v>
      </c>
      <c r="L27" s="377">
        <v>1</v>
      </c>
      <c r="M27" s="377">
        <v>1</v>
      </c>
      <c r="N27" s="377">
        <v>1</v>
      </c>
      <c r="O27" s="377">
        <v>2</v>
      </c>
      <c r="P27" s="377">
        <v>1</v>
      </c>
      <c r="Q27" s="1043"/>
      <c r="S27" s="1043"/>
      <c r="T27" t="s">
        <v>250</v>
      </c>
      <c r="U27" s="259">
        <v>55.7490226309245</v>
      </c>
      <c r="V27" s="593">
        <v>4.5151515622345604E-3</v>
      </c>
      <c r="W27" s="593">
        <v>7.9357209358326701E-5</v>
      </c>
      <c r="X27" s="593">
        <v>0.14113213156364202</v>
      </c>
      <c r="Y27" s="593">
        <v>1.3394771628665399E-3</v>
      </c>
      <c r="Z27" s="593">
        <v>6.3819809382671397E-9</v>
      </c>
      <c r="AB27" t="s">
        <v>2208</v>
      </c>
      <c r="AC27" t="s">
        <v>2210</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2646</v>
      </c>
      <c r="I28" s="786">
        <f>$AE$24</f>
        <v>8.1933928206568904E-2</v>
      </c>
      <c r="J28" s="787"/>
      <c r="K28" s="52" t="s">
        <v>2658</v>
      </c>
      <c r="L28" s="377">
        <v>1</v>
      </c>
      <c r="M28" s="377">
        <v>1</v>
      </c>
      <c r="N28" s="377">
        <v>1</v>
      </c>
      <c r="O28" s="377">
        <v>3</v>
      </c>
      <c r="P28" s="377">
        <v>1</v>
      </c>
      <c r="Q28" s="1043"/>
      <c r="S28" s="1043"/>
      <c r="T28" t="s">
        <v>232</v>
      </c>
      <c r="U28" s="259">
        <v>82.778045458128702</v>
      </c>
      <c r="V28" s="593">
        <v>6.1430149808847203E-3</v>
      </c>
      <c r="W28" s="593">
        <v>1.07968141741029E-4</v>
      </c>
      <c r="X28" s="593">
        <v>5.8735499495296599E-2</v>
      </c>
      <c r="Y28" s="593">
        <v>4.1814891670036098E-3</v>
      </c>
      <c r="Z28" s="593">
        <v>9.50638448241946E-9</v>
      </c>
      <c r="AB28" t="s">
        <v>2208</v>
      </c>
      <c r="AC28" t="s">
        <v>2211</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4089</v>
      </c>
      <c r="G29">
        <v>2024</v>
      </c>
      <c r="H29" t="s">
        <v>2646</v>
      </c>
      <c r="I29" s="786">
        <f>$W$5+$X$5</f>
        <v>0.14696911777300034</v>
      </c>
      <c r="J29" s="787"/>
      <c r="K29" s="52" t="s">
        <v>2649</v>
      </c>
      <c r="L29" s="377">
        <v>1</v>
      </c>
      <c r="M29" s="377">
        <v>1</v>
      </c>
      <c r="N29" s="377">
        <v>1</v>
      </c>
      <c r="O29" s="377">
        <v>2</v>
      </c>
      <c r="P29" s="377">
        <v>1</v>
      </c>
      <c r="Q29" s="1043"/>
      <c r="S29" s="1043"/>
      <c r="T29" s="1086" t="s">
        <v>4303</v>
      </c>
      <c r="U29" s="1086"/>
      <c r="V29" s="1086"/>
      <c r="W29" s="1086"/>
      <c r="X29" s="1086"/>
      <c r="Y29" s="1086"/>
      <c r="Z29" s="1086"/>
      <c r="AB29" t="s">
        <v>2208</v>
      </c>
      <c r="AC29" t="s">
        <v>2213</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4089</v>
      </c>
      <c r="G30">
        <v>2024</v>
      </c>
      <c r="H30" t="s">
        <v>2646</v>
      </c>
      <c r="I30" s="786"/>
      <c r="J30" s="787">
        <f>$W$6+$X$6</f>
        <v>0.13588875733191488</v>
      </c>
      <c r="K30" s="52" t="s">
        <v>2649</v>
      </c>
      <c r="L30" s="377">
        <v>1</v>
      </c>
      <c r="M30" s="377">
        <v>1</v>
      </c>
      <c r="N30" s="377">
        <v>1</v>
      </c>
      <c r="O30" s="377">
        <v>2</v>
      </c>
      <c r="P30" s="377">
        <v>1</v>
      </c>
      <c r="Q30" s="1043"/>
      <c r="S30" s="1043"/>
      <c r="T30" s="1086"/>
      <c r="U30" s="1086"/>
      <c r="V30" s="1086"/>
      <c r="W30" s="1086"/>
      <c r="X30" s="1086"/>
      <c r="Y30" s="1086"/>
      <c r="Z30" s="1086"/>
      <c r="AB30" t="s">
        <v>2208</v>
      </c>
      <c r="AC30" t="s">
        <v>2526</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4084</v>
      </c>
      <c r="B31" t="s">
        <v>2897</v>
      </c>
      <c r="C31" t="s">
        <v>4082</v>
      </c>
      <c r="D31" t="s">
        <v>2037</v>
      </c>
      <c r="E31" t="s">
        <v>95</v>
      </c>
      <c r="F31" t="s">
        <v>4089</v>
      </c>
      <c r="G31">
        <v>2024</v>
      </c>
      <c r="H31" t="s">
        <v>2646</v>
      </c>
      <c r="I31" s="786">
        <f>$W$10+$X$10</f>
        <v>0.13588854877300036</v>
      </c>
      <c r="J31" s="787"/>
      <c r="K31" s="52" t="s">
        <v>2649</v>
      </c>
      <c r="L31" s="377">
        <v>1</v>
      </c>
      <c r="M31" s="377">
        <v>1</v>
      </c>
      <c r="N31" s="377">
        <v>1</v>
      </c>
      <c r="O31" s="377">
        <v>2</v>
      </c>
      <c r="P31" s="377">
        <v>1</v>
      </c>
      <c r="Q31" s="1043"/>
      <c r="S31" s="1043"/>
      <c r="T31" s="1086"/>
      <c r="U31" s="1086"/>
      <c r="V31" s="1086"/>
      <c r="W31" s="1086"/>
      <c r="X31" s="1086"/>
      <c r="Y31" s="1086"/>
      <c r="Z31" s="1086"/>
      <c r="AB31" s="1086" t="s">
        <v>2635</v>
      </c>
      <c r="AC31" s="1086"/>
      <c r="AD31" s="1086"/>
      <c r="AE31" s="1086"/>
      <c r="AF31" s="1086"/>
      <c r="AG31" s="1086"/>
    </row>
    <row r="32" spans="1:38" x14ac:dyDescent="0.25">
      <c r="A32" t="s">
        <v>2071</v>
      </c>
      <c r="B32" t="s">
        <v>436</v>
      </c>
      <c r="C32" t="s">
        <v>2121</v>
      </c>
      <c r="D32" t="s">
        <v>2037</v>
      </c>
      <c r="E32" t="s">
        <v>95</v>
      </c>
      <c r="F32" t="s">
        <v>2126</v>
      </c>
      <c r="G32">
        <v>2023</v>
      </c>
      <c r="H32" t="s">
        <v>2646</v>
      </c>
      <c r="I32" s="786">
        <f>$AE$12</f>
        <v>9.2320942007051585E-2</v>
      </c>
      <c r="J32" s="787"/>
      <c r="K32" s="52" t="s">
        <v>2651</v>
      </c>
      <c r="L32" s="377">
        <v>1</v>
      </c>
      <c r="M32" s="377">
        <v>1</v>
      </c>
      <c r="N32" s="377">
        <v>1</v>
      </c>
      <c r="O32" s="377">
        <v>3</v>
      </c>
      <c r="P32" s="377">
        <v>1</v>
      </c>
      <c r="Q32" s="1043"/>
      <c r="S32" s="1043"/>
      <c r="T32" s="1086"/>
      <c r="U32" s="1086"/>
      <c r="V32" s="1086"/>
      <c r="W32" s="1086"/>
      <c r="X32" s="1086"/>
      <c r="Y32" s="1086"/>
      <c r="Z32" s="1086"/>
      <c r="AB32" s="1086"/>
      <c r="AC32" s="1086"/>
      <c r="AD32" s="1086"/>
      <c r="AE32" s="1086"/>
      <c r="AF32" s="1086"/>
      <c r="AG32" s="1086"/>
    </row>
    <row r="33" spans="1:38" x14ac:dyDescent="0.25">
      <c r="A33" t="s">
        <v>2072</v>
      </c>
      <c r="B33" t="s">
        <v>436</v>
      </c>
      <c r="C33" t="s">
        <v>2122</v>
      </c>
      <c r="D33" t="s">
        <v>2037</v>
      </c>
      <c r="E33" t="s">
        <v>95</v>
      </c>
      <c r="F33" t="s">
        <v>2126</v>
      </c>
      <c r="G33">
        <v>2023</v>
      </c>
      <c r="H33" t="s">
        <v>2646</v>
      </c>
      <c r="I33" s="786">
        <f>$AE$8</f>
        <v>9.3469886560725551E-2</v>
      </c>
      <c r="J33" s="787"/>
      <c r="K33" s="52" t="s">
        <v>2652</v>
      </c>
      <c r="L33" s="377">
        <v>1</v>
      </c>
      <c r="M33" s="377">
        <v>1</v>
      </c>
      <c r="N33" s="377">
        <v>1</v>
      </c>
      <c r="O33" s="377">
        <v>3</v>
      </c>
      <c r="P33" s="377">
        <v>1</v>
      </c>
      <c r="Q33" s="1043"/>
      <c r="S33" s="1043"/>
      <c r="T33" s="1086"/>
      <c r="U33" s="1086"/>
      <c r="V33" s="1086"/>
      <c r="W33" s="1086"/>
      <c r="X33" s="1086"/>
      <c r="Y33" s="1086"/>
      <c r="Z33" s="1086"/>
      <c r="AB33" s="1086"/>
      <c r="AC33" s="1086"/>
      <c r="AD33" s="1086"/>
      <c r="AE33" s="1086"/>
      <c r="AF33" s="1086"/>
      <c r="AG33" s="1086"/>
    </row>
    <row r="34" spans="1:38" ht="14.45" customHeight="1" x14ac:dyDescent="0.25">
      <c r="A34" t="s">
        <v>2073</v>
      </c>
      <c r="B34" t="s">
        <v>436</v>
      </c>
      <c r="C34" t="s">
        <v>2123</v>
      </c>
      <c r="D34" t="s">
        <v>2037</v>
      </c>
      <c r="E34" t="s">
        <v>95</v>
      </c>
      <c r="F34" t="s">
        <v>4089</v>
      </c>
      <c r="G34">
        <v>2024</v>
      </c>
      <c r="H34" t="s">
        <v>2646</v>
      </c>
      <c r="I34" s="786">
        <f>$W$7+$X$7</f>
        <v>2.7229064857565256E-2</v>
      </c>
      <c r="J34" s="787"/>
      <c r="K34" s="52" t="s">
        <v>2649</v>
      </c>
      <c r="L34" s="377">
        <v>1</v>
      </c>
      <c r="M34" s="377">
        <v>1</v>
      </c>
      <c r="N34" s="377">
        <v>1</v>
      </c>
      <c r="O34" s="377">
        <v>2</v>
      </c>
      <c r="P34" s="377">
        <v>1</v>
      </c>
      <c r="Q34" s="1043"/>
      <c r="S34" s="1043"/>
      <c r="T34" s="1086"/>
      <c r="U34" s="1086"/>
      <c r="V34" s="1086"/>
      <c r="W34" s="1086"/>
      <c r="X34" s="1086"/>
      <c r="Y34" s="1086"/>
      <c r="Z34" s="1086"/>
      <c r="AB34" s="1086"/>
      <c r="AC34" s="1086"/>
      <c r="AD34" s="1086"/>
      <c r="AE34" s="1086"/>
      <c r="AF34" s="1086"/>
      <c r="AG34" s="1086"/>
    </row>
    <row r="35" spans="1:38" x14ac:dyDescent="0.25">
      <c r="A35" t="s">
        <v>2078</v>
      </c>
      <c r="B35" t="s">
        <v>436</v>
      </c>
      <c r="C35" t="s">
        <v>2124</v>
      </c>
      <c r="D35" t="s">
        <v>2037</v>
      </c>
      <c r="E35" t="s">
        <v>95</v>
      </c>
      <c r="F35" t="s">
        <v>2126</v>
      </c>
      <c r="G35">
        <v>2023</v>
      </c>
      <c r="H35" t="s">
        <v>2646</v>
      </c>
      <c r="I35" s="786">
        <f>AVERAGE($AE$27:$AE$30)</f>
        <v>6.3034943897311277E-2</v>
      </c>
      <c r="J35" s="787"/>
      <c r="K35" s="52" t="s">
        <v>2659</v>
      </c>
      <c r="L35" s="377">
        <v>1</v>
      </c>
      <c r="M35" s="377">
        <v>1</v>
      </c>
      <c r="N35" s="377">
        <v>1</v>
      </c>
      <c r="O35" s="377">
        <v>3</v>
      </c>
      <c r="P35" s="377">
        <v>2</v>
      </c>
      <c r="Q35" s="1043"/>
      <c r="S35" s="1043"/>
      <c r="T35" s="350"/>
      <c r="U35" s="350"/>
      <c r="V35" s="350"/>
      <c r="W35" s="350"/>
      <c r="X35" s="350"/>
      <c r="Y35" s="350"/>
      <c r="Z35" s="350"/>
      <c r="AB35" s="1086"/>
      <c r="AC35" s="1086"/>
      <c r="AD35" s="1086"/>
      <c r="AE35" s="1086"/>
      <c r="AF35" s="1086"/>
      <c r="AG35" s="1086"/>
    </row>
    <row r="36" spans="1:38" ht="15.75" x14ac:dyDescent="0.25">
      <c r="A36" t="s">
        <v>2084</v>
      </c>
      <c r="B36" t="s">
        <v>2115</v>
      </c>
      <c r="C36" t="s">
        <v>2029</v>
      </c>
      <c r="D36" t="s">
        <v>2037</v>
      </c>
      <c r="E36" t="s">
        <v>95</v>
      </c>
      <c r="F36" t="s">
        <v>4089</v>
      </c>
      <c r="G36">
        <v>2024</v>
      </c>
      <c r="H36" t="s">
        <v>2646</v>
      </c>
      <c r="I36" s="786">
        <f>($W$21+$X$21)-I25</f>
        <v>2.7644600363275762E-3</v>
      </c>
      <c r="J36" s="787"/>
      <c r="K36" s="52" t="s">
        <v>2648</v>
      </c>
      <c r="L36" s="377">
        <v>1</v>
      </c>
      <c r="M36" s="377">
        <v>1</v>
      </c>
      <c r="N36" s="377">
        <v>1</v>
      </c>
      <c r="O36" s="377">
        <v>2</v>
      </c>
      <c r="P36" s="377">
        <v>1</v>
      </c>
      <c r="Q36" s="1043"/>
      <c r="S36" s="1043"/>
      <c r="T36" s="159" t="s">
        <v>2642</v>
      </c>
      <c r="U36" s="159"/>
      <c r="AB36" s="1086"/>
      <c r="AC36" s="1086"/>
      <c r="AD36" s="1086"/>
      <c r="AE36" s="1086"/>
      <c r="AF36" s="1086"/>
      <c r="AG36" s="1086"/>
    </row>
    <row r="37" spans="1:38" ht="14.45" customHeight="1" thickBot="1" x14ac:dyDescent="0.3">
      <c r="A37" t="s">
        <v>2085</v>
      </c>
      <c r="B37" t="s">
        <v>2116</v>
      </c>
      <c r="C37" t="s">
        <v>2083</v>
      </c>
      <c r="D37" t="s">
        <v>2037</v>
      </c>
      <c r="E37" t="s">
        <v>95</v>
      </c>
      <c r="F37" t="s">
        <v>2126</v>
      </c>
      <c r="G37">
        <v>2023</v>
      </c>
      <c r="H37" t="s">
        <v>2646</v>
      </c>
      <c r="I37" s="786">
        <f>0.5*$AE$41+0.5*$AE$54</f>
        <v>1.60042558966902E-2</v>
      </c>
      <c r="J37" s="787"/>
      <c r="K37" s="52" t="s">
        <v>2653</v>
      </c>
      <c r="L37" s="377">
        <v>1</v>
      </c>
      <c r="M37" s="377">
        <v>1</v>
      </c>
      <c r="N37" s="377">
        <v>1</v>
      </c>
      <c r="O37" s="377">
        <v>3</v>
      </c>
      <c r="P37" s="377">
        <v>1</v>
      </c>
      <c r="Q37" s="1043"/>
      <c r="S37" s="1043"/>
      <c r="T37" s="88" t="s">
        <v>2636</v>
      </c>
      <c r="U37" s="88" t="s">
        <v>2637</v>
      </c>
      <c r="V37" s="88" t="s">
        <v>2643</v>
      </c>
      <c r="AB37" s="1086"/>
      <c r="AC37" s="1086"/>
      <c r="AD37" s="1086"/>
      <c r="AE37" s="1086"/>
      <c r="AF37" s="1086"/>
      <c r="AG37" s="1086"/>
    </row>
    <row r="38" spans="1:38" ht="15.75" thickTop="1" x14ac:dyDescent="0.25">
      <c r="A38" t="s">
        <v>2086</v>
      </c>
      <c r="B38" t="s">
        <v>2117</v>
      </c>
      <c r="C38" t="s">
        <v>2027</v>
      </c>
      <c r="D38" t="s">
        <v>2037</v>
      </c>
      <c r="E38" t="s">
        <v>95</v>
      </c>
      <c r="F38" t="s">
        <v>4089</v>
      </c>
      <c r="G38">
        <v>2024</v>
      </c>
      <c r="H38" t="s">
        <v>2646</v>
      </c>
      <c r="I38" s="786">
        <f>($W$20+$X$20)-I27</f>
        <v>1.5407383515330574E-2</v>
      </c>
      <c r="J38" s="787"/>
      <c r="K38" s="52" t="s">
        <v>2648</v>
      </c>
      <c r="L38" s="377">
        <v>1</v>
      </c>
      <c r="M38" s="377">
        <v>1</v>
      </c>
      <c r="N38" s="377">
        <v>1</v>
      </c>
      <c r="O38" s="377">
        <v>2</v>
      </c>
      <c r="P38" s="377">
        <v>1</v>
      </c>
      <c r="Q38" s="1043"/>
      <c r="S38" s="1043"/>
      <c r="T38" t="s">
        <v>8</v>
      </c>
      <c r="U38" s="6">
        <v>1</v>
      </c>
      <c r="V38" s="6">
        <v>1</v>
      </c>
    </row>
    <row r="39" spans="1:38" ht="15.75" x14ac:dyDescent="0.25">
      <c r="A39" t="s">
        <v>2087</v>
      </c>
      <c r="B39" t="s">
        <v>2118</v>
      </c>
      <c r="C39" t="s">
        <v>2028</v>
      </c>
      <c r="D39" t="s">
        <v>2037</v>
      </c>
      <c r="E39" t="s">
        <v>95</v>
      </c>
      <c r="F39" t="s">
        <v>4201</v>
      </c>
      <c r="G39">
        <v>2022</v>
      </c>
      <c r="H39" t="s">
        <v>2646</v>
      </c>
      <c r="I39" s="786">
        <f>$W$54</f>
        <v>1.8504826736417526E-2</v>
      </c>
      <c r="J39" s="787"/>
      <c r="K39" s="52" t="s">
        <v>4234</v>
      </c>
      <c r="L39" s="377">
        <v>1</v>
      </c>
      <c r="M39" s="377">
        <v>1</v>
      </c>
      <c r="N39" s="377">
        <v>1</v>
      </c>
      <c r="O39" s="377">
        <v>2</v>
      </c>
      <c r="P39" s="377">
        <v>1</v>
      </c>
      <c r="Q39" s="1043"/>
      <c r="S39" s="1043"/>
      <c r="T39" t="s">
        <v>14</v>
      </c>
      <c r="U39" s="6">
        <v>29.8</v>
      </c>
      <c r="V39" s="6">
        <v>82.5</v>
      </c>
      <c r="AB39" s="159" t="s">
        <v>2634</v>
      </c>
    </row>
    <row r="40" spans="1:38" ht="15.75" thickBot="1" x14ac:dyDescent="0.3">
      <c r="A40" t="s">
        <v>2088</v>
      </c>
      <c r="B40" t="s">
        <v>2119</v>
      </c>
      <c r="C40" t="s">
        <v>2055</v>
      </c>
      <c r="D40" t="s">
        <v>2037</v>
      </c>
      <c r="E40" t="s">
        <v>95</v>
      </c>
      <c r="F40" t="s">
        <v>4089</v>
      </c>
      <c r="G40">
        <v>2024</v>
      </c>
      <c r="H40" t="s">
        <v>2646</v>
      </c>
      <c r="I40" s="786">
        <f>($W$22+$X$22)-I29</f>
        <v>0.23444799999999996</v>
      </c>
      <c r="J40" s="787"/>
      <c r="K40" s="52" t="s">
        <v>2648</v>
      </c>
      <c r="L40" s="377">
        <v>1</v>
      </c>
      <c r="M40" s="377">
        <v>1</v>
      </c>
      <c r="N40" s="377">
        <v>1</v>
      </c>
      <c r="O40" s="377">
        <v>2</v>
      </c>
      <c r="P40" s="377">
        <v>1</v>
      </c>
      <c r="Q40" s="1043"/>
      <c r="S40" s="1043"/>
      <c r="T40" s="375" t="s">
        <v>10</v>
      </c>
      <c r="U40" s="6">
        <v>273</v>
      </c>
      <c r="V40" s="6">
        <v>273</v>
      </c>
      <c r="W40" s="350"/>
      <c r="X40" s="350"/>
      <c r="Y40" s="350"/>
      <c r="Z40" s="350"/>
      <c r="AB40" s="88" t="s">
        <v>225</v>
      </c>
      <c r="AC40" s="88" t="s">
        <v>2190</v>
      </c>
      <c r="AD40" s="88" t="s">
        <v>8</v>
      </c>
      <c r="AE40" s="88" t="s">
        <v>14</v>
      </c>
      <c r="AF40" s="88" t="s">
        <v>10</v>
      </c>
      <c r="AG40" s="593"/>
    </row>
    <row r="41" spans="1:38" ht="15.75" thickTop="1" x14ac:dyDescent="0.25">
      <c r="A41" t="s">
        <v>2089</v>
      </c>
      <c r="B41" t="s">
        <v>2120</v>
      </c>
      <c r="C41" t="s">
        <v>2060</v>
      </c>
      <c r="D41" t="s">
        <v>2037</v>
      </c>
      <c r="E41" t="s">
        <v>95</v>
      </c>
      <c r="F41" t="s">
        <v>4089</v>
      </c>
      <c r="G41">
        <v>2024</v>
      </c>
      <c r="H41" t="s">
        <v>2646</v>
      </c>
      <c r="I41" s="786"/>
      <c r="J41" s="787">
        <f>($W$23+$X$23)-J30</f>
        <v>5.3229399999999982E-3</v>
      </c>
      <c r="K41" s="52" t="s">
        <v>2648</v>
      </c>
      <c r="L41" s="377">
        <v>1</v>
      </c>
      <c r="M41" s="377">
        <v>1</v>
      </c>
      <c r="N41" s="377">
        <v>1</v>
      </c>
      <c r="O41" s="377">
        <v>2</v>
      </c>
      <c r="P41" s="377">
        <v>1</v>
      </c>
      <c r="Q41" s="1043"/>
      <c r="S41" s="1043"/>
      <c r="T41" s="350"/>
      <c r="U41" s="350"/>
      <c r="V41" s="350"/>
      <c r="W41" s="350"/>
      <c r="X41" s="350"/>
      <c r="Y41" s="350"/>
      <c r="Z41" s="350"/>
      <c r="AB41" t="s">
        <v>2191</v>
      </c>
      <c r="AC41" t="s">
        <v>2629</v>
      </c>
      <c r="AD41" s="73">
        <v>70.293274862450787</v>
      </c>
      <c r="AE41" s="593">
        <v>1.60042558966902E-2</v>
      </c>
      <c r="AF41" s="593">
        <v>9.5434261053573596E-5</v>
      </c>
    </row>
    <row r="42" spans="1:38" ht="15.75" x14ac:dyDescent="0.25">
      <c r="A42" t="s">
        <v>4085</v>
      </c>
      <c r="B42" t="s">
        <v>4082</v>
      </c>
      <c r="C42" t="s">
        <v>4083</v>
      </c>
      <c r="D42" t="s">
        <v>2037</v>
      </c>
      <c r="E42" t="s">
        <v>95</v>
      </c>
      <c r="F42" t="s">
        <v>4089</v>
      </c>
      <c r="G42">
        <v>2024</v>
      </c>
      <c r="H42" t="s">
        <v>2646</v>
      </c>
      <c r="I42" s="786">
        <f>($W$27+$X$27)-I31</f>
        <v>5.3229399999999982E-3</v>
      </c>
      <c r="J42" s="787"/>
      <c r="K42" s="52" t="s">
        <v>2889</v>
      </c>
      <c r="L42" s="377">
        <v>1</v>
      </c>
      <c r="M42" s="377">
        <v>1</v>
      </c>
      <c r="N42" s="377">
        <v>1</v>
      </c>
      <c r="O42" s="377">
        <v>2</v>
      </c>
      <c r="P42" s="377">
        <v>1</v>
      </c>
      <c r="Q42" s="1043"/>
      <c r="S42" s="1043"/>
      <c r="T42" s="159" t="s">
        <v>4229</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2646</v>
      </c>
      <c r="I43" s="786">
        <f>$AE$52</f>
        <v>1.1127363900800061E-3</v>
      </c>
      <c r="J43" s="787"/>
      <c r="K43" s="52" t="s">
        <v>2654</v>
      </c>
      <c r="L43" s="377">
        <v>1</v>
      </c>
      <c r="M43" s="377">
        <v>1</v>
      </c>
      <c r="N43" s="377">
        <v>1</v>
      </c>
      <c r="O43" s="377">
        <v>3</v>
      </c>
      <c r="P43" s="377">
        <v>1</v>
      </c>
      <c r="Q43" s="1043"/>
      <c r="S43" s="1043"/>
      <c r="T43" s="281" t="s">
        <v>225</v>
      </c>
      <c r="U43" s="281" t="s">
        <v>2375</v>
      </c>
      <c r="V43" s="281" t="s">
        <v>8</v>
      </c>
      <c r="W43" s="281" t="s">
        <v>14</v>
      </c>
      <c r="X43" s="281" t="s">
        <v>10</v>
      </c>
      <c r="AB43" t="s">
        <v>2193</v>
      </c>
      <c r="AC43" t="s">
        <v>2631</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2646</v>
      </c>
      <c r="I44" s="786">
        <f>$AE$48</f>
        <v>1.1018952457852911E-3</v>
      </c>
      <c r="J44" s="787"/>
      <c r="K44" s="52" t="s">
        <v>2655</v>
      </c>
      <c r="L44" s="377">
        <v>1</v>
      </c>
      <c r="M44" s="377">
        <v>1</v>
      </c>
      <c r="N44" s="377">
        <v>1</v>
      </c>
      <c r="O44" s="377">
        <v>3</v>
      </c>
      <c r="P44" s="377">
        <v>1</v>
      </c>
      <c r="Q44" s="1043"/>
      <c r="S44" s="1043"/>
      <c r="T44" t="s">
        <v>23</v>
      </c>
      <c r="U44" t="s">
        <v>2417</v>
      </c>
      <c r="V44" s="73">
        <v>25.279594781250058</v>
      </c>
      <c r="W44" s="593">
        <v>-5.8894477974681649E-2</v>
      </c>
      <c r="X44" s="593">
        <v>2.9051675036269445E-2</v>
      </c>
      <c r="AB44" t="s">
        <v>2195</v>
      </c>
      <c r="AC44" t="s">
        <v>2631</v>
      </c>
      <c r="AD44" s="73">
        <v>95.474879597321703</v>
      </c>
      <c r="AE44" s="593">
        <v>1.1124832870221899E-3</v>
      </c>
      <c r="AF44" s="593">
        <v>7.6516707622634303E-4</v>
      </c>
      <c r="AL44" s="593"/>
    </row>
    <row r="45" spans="1:38" x14ac:dyDescent="0.25">
      <c r="A45" t="s">
        <v>2092</v>
      </c>
      <c r="B45" t="s">
        <v>2123</v>
      </c>
      <c r="C45" t="s">
        <v>2030</v>
      </c>
      <c r="D45" t="s">
        <v>2037</v>
      </c>
      <c r="E45" t="s">
        <v>95</v>
      </c>
      <c r="F45" t="s">
        <v>4089</v>
      </c>
      <c r="G45">
        <v>2024</v>
      </c>
      <c r="H45" t="s">
        <v>2646</v>
      </c>
      <c r="I45" s="786">
        <f>($W$24+$X$24)-I34</f>
        <v>8.2173659405074609E-4</v>
      </c>
      <c r="J45" s="787"/>
      <c r="K45" s="52" t="s">
        <v>2648</v>
      </c>
      <c r="L45" s="377">
        <v>1</v>
      </c>
      <c r="M45" s="377">
        <v>1</v>
      </c>
      <c r="N45" s="377">
        <v>1</v>
      </c>
      <c r="O45" s="377">
        <v>2</v>
      </c>
      <c r="P45" s="377">
        <v>1</v>
      </c>
      <c r="Q45" s="1043"/>
      <c r="S45" s="1043"/>
      <c r="T45" t="s">
        <v>23</v>
      </c>
      <c r="U45" t="s">
        <v>4146</v>
      </c>
      <c r="V45" s="73">
        <v>18.682543824838412</v>
      </c>
      <c r="W45" s="593">
        <v>9.7935692582730549E-2</v>
      </c>
      <c r="X45" s="593">
        <v>1.4886096869642642E-2</v>
      </c>
      <c r="AB45" t="s">
        <v>1592</v>
      </c>
      <c r="AC45" t="s">
        <v>2630</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2646</v>
      </c>
      <c r="I46" s="786">
        <f>$AE$56</f>
        <v>3.2823653008511299E-5</v>
      </c>
      <c r="J46" s="787"/>
      <c r="K46" s="52" t="s">
        <v>2656</v>
      </c>
      <c r="L46" s="377">
        <v>1</v>
      </c>
      <c r="M46" s="377">
        <v>1</v>
      </c>
      <c r="N46" s="377">
        <v>1</v>
      </c>
      <c r="O46" s="377">
        <v>3</v>
      </c>
      <c r="P46" s="377">
        <v>2</v>
      </c>
      <c r="Q46" s="1043"/>
      <c r="S46" s="1043"/>
      <c r="T46" t="s">
        <v>23</v>
      </c>
      <c r="U46" t="s">
        <v>4147</v>
      </c>
      <c r="V46" s="73">
        <v>39.703913265207724</v>
      </c>
      <c r="W46" s="593">
        <v>0.103907101596953</v>
      </c>
      <c r="X46" s="593">
        <v>3.269714964705054E-2</v>
      </c>
      <c r="AB46" t="s">
        <v>2198</v>
      </c>
      <c r="AC46" t="s">
        <v>2632</v>
      </c>
      <c r="AD46" s="73">
        <v>63.817731575385302</v>
      </c>
      <c r="AE46" s="593">
        <v>0.130321657222885</v>
      </c>
      <c r="AF46" s="593">
        <v>8.0693200408765098E-2</v>
      </c>
      <c r="AL46" s="593"/>
    </row>
    <row r="47" spans="1:38" x14ac:dyDescent="0.25">
      <c r="A47" t="s">
        <v>2067</v>
      </c>
      <c r="B47" t="s">
        <v>436</v>
      </c>
      <c r="C47" t="s">
        <v>2115</v>
      </c>
      <c r="D47" t="s">
        <v>2036</v>
      </c>
      <c r="E47" t="s">
        <v>95</v>
      </c>
      <c r="F47" t="s">
        <v>4089</v>
      </c>
      <c r="G47">
        <v>2024</v>
      </c>
      <c r="H47" t="s">
        <v>2647</v>
      </c>
      <c r="I47" s="786">
        <f>$Y$4</f>
        <v>9.8558613594001605E-5</v>
      </c>
      <c r="J47" s="787"/>
      <c r="K47" s="52" t="s">
        <v>2650</v>
      </c>
      <c r="L47" s="377">
        <v>1</v>
      </c>
      <c r="M47" s="377">
        <v>1</v>
      </c>
      <c r="N47" s="377">
        <v>1</v>
      </c>
      <c r="O47" s="377">
        <v>2</v>
      </c>
      <c r="P47" s="377">
        <v>1</v>
      </c>
      <c r="Q47" s="1043"/>
      <c r="S47" s="1043"/>
      <c r="T47" t="s">
        <v>4099</v>
      </c>
      <c r="U47" t="s">
        <v>4152</v>
      </c>
      <c r="V47" s="73">
        <v>3.5137878305420256</v>
      </c>
      <c r="W47" s="593">
        <v>9.1565767059746568E-3</v>
      </c>
      <c r="X47" s="593">
        <v>1.6000227383607124E-2</v>
      </c>
      <c r="AB47" t="s">
        <v>1690</v>
      </c>
      <c r="AC47" t="s">
        <v>2632</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2647</v>
      </c>
      <c r="I48" s="786">
        <f>0.5*($AF$25)+0.5*($AF$26)</f>
        <v>1.0361177815670078E-2</v>
      </c>
      <c r="J48" s="787"/>
      <c r="K48" s="52" t="s">
        <v>2657</v>
      </c>
      <c r="L48" s="377">
        <v>1</v>
      </c>
      <c r="M48" s="377">
        <v>1</v>
      </c>
      <c r="N48" s="377">
        <v>1</v>
      </c>
      <c r="O48" s="377">
        <v>3</v>
      </c>
      <c r="P48" s="377">
        <v>1</v>
      </c>
      <c r="Q48" s="1043"/>
      <c r="S48" s="1043"/>
      <c r="T48" t="s">
        <v>239</v>
      </c>
      <c r="U48" t="s">
        <v>4153</v>
      </c>
      <c r="V48" s="73">
        <v>-0.99038394138913832</v>
      </c>
      <c r="W48" s="593">
        <v>1.8669602384246899E-2</v>
      </c>
      <c r="X48" s="593">
        <v>1.6268788987266816E-2</v>
      </c>
      <c r="AB48" t="s">
        <v>1622</v>
      </c>
      <c r="AC48" t="s">
        <v>2633</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4089</v>
      </c>
      <c r="G49">
        <v>2024</v>
      </c>
      <c r="H49" t="s">
        <v>2647</v>
      </c>
      <c r="I49" s="786">
        <f>$Y$3</f>
        <v>1.1850747413351399E-4</v>
      </c>
      <c r="J49" s="787"/>
      <c r="K49" s="52" t="s">
        <v>2649</v>
      </c>
      <c r="L49" s="377">
        <v>1</v>
      </c>
      <c r="M49" s="377">
        <v>1</v>
      </c>
      <c r="N49" s="377">
        <v>1</v>
      </c>
      <c r="O49" s="377">
        <v>2</v>
      </c>
      <c r="P49" s="377">
        <v>1</v>
      </c>
      <c r="Q49" s="1043"/>
      <c r="S49" s="1043"/>
      <c r="T49" t="s">
        <v>4104</v>
      </c>
      <c r="U49" t="s">
        <v>4156</v>
      </c>
      <c r="V49" s="73">
        <v>12.448247905991719</v>
      </c>
      <c r="W49" s="593">
        <v>2.7499708439570895E-2</v>
      </c>
      <c r="X49" s="593">
        <v>-1.7202714135157293E-2</v>
      </c>
      <c r="AB49" t="s">
        <v>2185</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2647</v>
      </c>
      <c r="I50" s="786">
        <f>$AF$24</f>
        <v>3.3100110666183846E-2</v>
      </c>
      <c r="J50" s="787"/>
      <c r="K50" s="52" t="s">
        <v>2658</v>
      </c>
      <c r="L50" s="377">
        <v>1</v>
      </c>
      <c r="M50" s="377">
        <v>1</v>
      </c>
      <c r="N50" s="377">
        <v>1</v>
      </c>
      <c r="O50" s="377">
        <v>3</v>
      </c>
      <c r="P50" s="377">
        <v>1</v>
      </c>
      <c r="Q50" s="1043"/>
      <c r="S50" s="1043"/>
      <c r="T50" t="s">
        <v>239</v>
      </c>
      <c r="U50" t="s">
        <v>4104</v>
      </c>
      <c r="V50" s="73">
        <v>14.646979454771005</v>
      </c>
      <c r="W50" s="593">
        <v>5.2479315101958489E-2</v>
      </c>
      <c r="X50" s="593">
        <v>-1.8593281653862506E-2</v>
      </c>
      <c r="AB50" t="s">
        <v>233</v>
      </c>
      <c r="AC50" t="s">
        <v>2633</v>
      </c>
      <c r="AD50" s="73">
        <v>48.302979865160701</v>
      </c>
      <c r="AE50" s="593">
        <v>0.55062507828377005</v>
      </c>
      <c r="AF50" s="593">
        <v>1.67005377013927E-3</v>
      </c>
    </row>
    <row r="51" spans="1:38" x14ac:dyDescent="0.25">
      <c r="A51" t="s">
        <v>2069</v>
      </c>
      <c r="B51" t="s">
        <v>436</v>
      </c>
      <c r="C51" t="s">
        <v>2119</v>
      </c>
      <c r="D51" t="s">
        <v>2036</v>
      </c>
      <c r="E51" t="s">
        <v>95</v>
      </c>
      <c r="F51" t="s">
        <v>4089</v>
      </c>
      <c r="G51">
        <v>2024</v>
      </c>
      <c r="H51" t="s">
        <v>2647</v>
      </c>
      <c r="I51" s="786">
        <f>$Y$5</f>
        <v>4.5206726286654402E-4</v>
      </c>
      <c r="J51" s="787"/>
      <c r="K51" s="52" t="s">
        <v>2649</v>
      </c>
      <c r="L51" s="377">
        <v>1</v>
      </c>
      <c r="M51" s="377">
        <v>1</v>
      </c>
      <c r="N51" s="377">
        <v>1</v>
      </c>
      <c r="O51" s="377">
        <v>2</v>
      </c>
      <c r="P51" s="377">
        <v>1</v>
      </c>
      <c r="V51" s="73"/>
      <c r="W51" s="593"/>
      <c r="X51" s="593"/>
      <c r="AB51" t="s">
        <v>232</v>
      </c>
      <c r="AC51" t="s">
        <v>2627</v>
      </c>
      <c r="AD51" s="73">
        <v>59.5677976818099</v>
      </c>
      <c r="AE51" s="593">
        <v>0.13156794130414901</v>
      </c>
      <c r="AF51" s="593">
        <v>8.1464880654535901E-2</v>
      </c>
    </row>
    <row r="52" spans="1:38" ht="15.75" x14ac:dyDescent="0.25">
      <c r="A52" t="s">
        <v>2070</v>
      </c>
      <c r="B52" t="s">
        <v>436</v>
      </c>
      <c r="C52" t="s">
        <v>2120</v>
      </c>
      <c r="D52" t="s">
        <v>2036</v>
      </c>
      <c r="E52" t="s">
        <v>95</v>
      </c>
      <c r="F52" t="s">
        <v>4089</v>
      </c>
      <c r="G52">
        <v>2024</v>
      </c>
      <c r="H52" t="s">
        <v>2647</v>
      </c>
      <c r="I52" s="786"/>
      <c r="J52" s="787">
        <f>$Y$6</f>
        <v>3.6675918264140496E-4</v>
      </c>
      <c r="K52" s="52" t="s">
        <v>2649</v>
      </c>
      <c r="L52" s="377">
        <v>1</v>
      </c>
      <c r="M52" s="377">
        <v>1</v>
      </c>
      <c r="N52" s="377">
        <v>1</v>
      </c>
      <c r="O52" s="377">
        <v>2</v>
      </c>
      <c r="P52" s="377">
        <v>1</v>
      </c>
      <c r="T52" s="159" t="s">
        <v>4230</v>
      </c>
      <c r="AB52" t="s">
        <v>1623</v>
      </c>
      <c r="AC52" t="s">
        <v>2633</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4084</v>
      </c>
      <c r="B53" t="s">
        <v>2897</v>
      </c>
      <c r="C53" t="s">
        <v>4082</v>
      </c>
      <c r="D53" t="s">
        <v>2036</v>
      </c>
      <c r="E53" t="s">
        <v>95</v>
      </c>
      <c r="F53" t="s">
        <v>4089</v>
      </c>
      <c r="G53">
        <v>2024</v>
      </c>
      <c r="H53" t="s">
        <v>2647</v>
      </c>
      <c r="I53" s="786">
        <f>$Y$10</f>
        <v>3.6675916286654401E-4</v>
      </c>
      <c r="J53" s="787"/>
      <c r="K53" s="52" t="s">
        <v>2649</v>
      </c>
      <c r="L53" s="377">
        <v>1</v>
      </c>
      <c r="M53" s="377">
        <v>1</v>
      </c>
      <c r="N53" s="377">
        <v>1</v>
      </c>
      <c r="O53" s="377">
        <v>2</v>
      </c>
      <c r="P53" s="377">
        <v>1</v>
      </c>
      <c r="T53" s="281" t="s">
        <v>225</v>
      </c>
      <c r="U53" s="281" t="s">
        <v>4231</v>
      </c>
      <c r="V53" s="281" t="s">
        <v>8</v>
      </c>
      <c r="W53" s="281" t="s">
        <v>14</v>
      </c>
      <c r="X53" s="281" t="s">
        <v>10</v>
      </c>
      <c r="AB53" t="s">
        <v>2203</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2647</v>
      </c>
      <c r="I54" s="786">
        <f>$AF$12</f>
        <v>1.6689736096117986E-4</v>
      </c>
      <c r="J54" s="787"/>
      <c r="K54" s="52" t="s">
        <v>2651</v>
      </c>
      <c r="L54" s="377">
        <v>1</v>
      </c>
      <c r="M54" s="377">
        <v>1</v>
      </c>
      <c r="N54" s="377">
        <v>1</v>
      </c>
      <c r="O54" s="377">
        <v>3</v>
      </c>
      <c r="P54" s="377">
        <v>1</v>
      </c>
      <c r="T54" t="s">
        <v>23</v>
      </c>
      <c r="U54" t="s">
        <v>4232</v>
      </c>
      <c r="V54" s="73">
        <f>SUM('GHGenius502b Data'!F27:F29)/1000</f>
        <v>0.77609505428296688</v>
      </c>
      <c r="W54" s="593">
        <f>'GHGenius502b Data'!F21/1000</f>
        <v>1.8504826736417526E-2</v>
      </c>
      <c r="X54" s="593">
        <f>'GHGenius502b Data'!F23/1000</f>
        <v>4.0139114276615019E-3</v>
      </c>
      <c r="AB54" t="s">
        <v>2216</v>
      </c>
      <c r="AC54" t="s">
        <v>2629</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2647</v>
      </c>
      <c r="I55" s="786">
        <f>$AF$8</f>
        <v>1.7522743257030327E-4</v>
      </c>
      <c r="J55" s="787"/>
      <c r="K55" s="52" t="s">
        <v>2652</v>
      </c>
      <c r="L55" s="377">
        <v>1</v>
      </c>
      <c r="M55" s="377">
        <v>1</v>
      </c>
      <c r="N55" s="377">
        <v>1</v>
      </c>
      <c r="O55" s="377">
        <v>3</v>
      </c>
      <c r="P55" s="377">
        <v>1</v>
      </c>
      <c r="T55" t="s">
        <v>239</v>
      </c>
      <c r="U55" t="s">
        <v>4233</v>
      </c>
      <c r="V55" s="73">
        <f>SUM('GHGenius502b Data'!G27:G29)/1000</f>
        <v>0.73832477916928474</v>
      </c>
      <c r="W55" s="593">
        <f>'GHGenius502b Data'!G21/1000</f>
        <v>3.6394893025290553E-3</v>
      </c>
      <c r="X55" s="593">
        <f>'GHGenius502b Data'!G23/1000</f>
        <v>2.6122851373696072E-3</v>
      </c>
      <c r="AB55" t="s">
        <v>2206</v>
      </c>
      <c r="AC55" t="s">
        <v>2631</v>
      </c>
      <c r="AD55" s="73">
        <v>75.339221679449494</v>
      </c>
      <c r="AE55" s="593">
        <v>2.8633413103201998E-3</v>
      </c>
      <c r="AF55" s="593">
        <v>1.51718982459554E-3</v>
      </c>
    </row>
    <row r="56" spans="1:38" x14ac:dyDescent="0.25">
      <c r="A56" t="s">
        <v>2073</v>
      </c>
      <c r="B56" t="s">
        <v>436</v>
      </c>
      <c r="C56" t="s">
        <v>2123</v>
      </c>
      <c r="D56" t="s">
        <v>2036</v>
      </c>
      <c r="E56" t="s">
        <v>95</v>
      </c>
      <c r="F56" t="s">
        <v>4089</v>
      </c>
      <c r="G56">
        <v>2024</v>
      </c>
      <c r="H56" t="s">
        <v>2647</v>
      </c>
      <c r="I56" s="786">
        <f>$Y$7</f>
        <v>6.2330550954728693E-5</v>
      </c>
      <c r="J56" s="787"/>
      <c r="K56" s="52" t="s">
        <v>2649</v>
      </c>
      <c r="L56" s="377">
        <v>1</v>
      </c>
      <c r="M56" s="377">
        <v>1</v>
      </c>
      <c r="N56" s="377">
        <v>1</v>
      </c>
      <c r="O56" s="377">
        <v>2</v>
      </c>
      <c r="P56" s="377">
        <v>1</v>
      </c>
      <c r="V56" s="73"/>
      <c r="W56" s="593"/>
      <c r="X56" s="593"/>
      <c r="AB56" t="s">
        <v>2208</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2647</v>
      </c>
      <c r="I57" s="786">
        <f>AVERAGE($AF$27:$AF$30)</f>
        <v>1.313920223255873E-2</v>
      </c>
      <c r="J57" s="787"/>
      <c r="K57" s="52" t="s">
        <v>2659</v>
      </c>
      <c r="L57" s="377">
        <v>1</v>
      </c>
      <c r="M57" s="377">
        <v>1</v>
      </c>
      <c r="N57" s="377">
        <v>1</v>
      </c>
      <c r="O57" s="377">
        <v>3</v>
      </c>
      <c r="P57" s="377">
        <v>2</v>
      </c>
      <c r="AB57" t="s">
        <v>2224</v>
      </c>
      <c r="AC57" t="s">
        <v>2631</v>
      </c>
      <c r="AD57" s="73">
        <v>52.275689184738397</v>
      </c>
      <c r="AE57" s="593">
        <v>2.7509548530269701E-3</v>
      </c>
      <c r="AF57" s="593">
        <v>5.32801033645754E-4</v>
      </c>
      <c r="AL57" s="593"/>
    </row>
    <row r="58" spans="1:38" x14ac:dyDescent="0.25">
      <c r="A58" t="s">
        <v>2084</v>
      </c>
      <c r="B58" t="s">
        <v>2115</v>
      </c>
      <c r="C58" t="s">
        <v>2029</v>
      </c>
      <c r="D58" t="s">
        <v>2036</v>
      </c>
      <c r="E58" t="s">
        <v>95</v>
      </c>
      <c r="F58" t="s">
        <v>4089</v>
      </c>
      <c r="G58">
        <v>2024</v>
      </c>
      <c r="H58" t="s">
        <v>2647</v>
      </c>
      <c r="I58" s="786">
        <f>($Y$21)-I47</f>
        <v>5.2136854648843585E-3</v>
      </c>
      <c r="J58" s="787"/>
      <c r="K58" s="52" t="s">
        <v>2648</v>
      </c>
      <c r="L58" s="377">
        <v>1</v>
      </c>
      <c r="M58" s="377">
        <v>1</v>
      </c>
      <c r="N58" s="377">
        <v>1</v>
      </c>
      <c r="O58" s="377">
        <v>2</v>
      </c>
      <c r="P58" s="377">
        <v>1</v>
      </c>
      <c r="AB58" t="s">
        <v>2214</v>
      </c>
      <c r="AC58" t="s">
        <v>2628</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2647</v>
      </c>
      <c r="I59" s="786">
        <f>0.5*$AF$41+0.5*$AF$54</f>
        <v>9.5434261053573596E-5</v>
      </c>
      <c r="J59" s="787"/>
      <c r="K59" s="52" t="s">
        <v>2653</v>
      </c>
      <c r="L59" s="377">
        <v>1</v>
      </c>
      <c r="M59" s="377">
        <v>1</v>
      </c>
      <c r="N59" s="377">
        <v>1</v>
      </c>
      <c r="O59" s="377">
        <v>3</v>
      </c>
      <c r="P59" s="377">
        <v>1</v>
      </c>
      <c r="AB59" s="1086" t="s">
        <v>2645</v>
      </c>
      <c r="AC59" s="1086"/>
      <c r="AD59" s="1086"/>
      <c r="AE59" s="1086"/>
      <c r="AF59" s="1086"/>
    </row>
    <row r="60" spans="1:38" x14ac:dyDescent="0.25">
      <c r="A60" t="s">
        <v>2086</v>
      </c>
      <c r="B60" t="s">
        <v>2117</v>
      </c>
      <c r="C60" t="s">
        <v>2027</v>
      </c>
      <c r="D60" t="s">
        <v>2036</v>
      </c>
      <c r="E60" t="s">
        <v>95</v>
      </c>
      <c r="F60" t="s">
        <v>4089</v>
      </c>
      <c r="G60">
        <v>2024</v>
      </c>
      <c r="H60" t="s">
        <v>2647</v>
      </c>
      <c r="I60" s="786">
        <f>($Y$20)-I49</f>
        <v>3.5043277414705761E-3</v>
      </c>
      <c r="J60" s="787"/>
      <c r="K60" s="52" t="s">
        <v>2648</v>
      </c>
      <c r="L60" s="377">
        <v>1</v>
      </c>
      <c r="M60" s="377">
        <v>1</v>
      </c>
      <c r="N60" s="377">
        <v>1</v>
      </c>
      <c r="O60" s="377">
        <v>2</v>
      </c>
      <c r="P60" s="377">
        <v>1</v>
      </c>
      <c r="AB60" s="1086"/>
      <c r="AC60" s="1086"/>
      <c r="AD60" s="1086"/>
      <c r="AE60" s="1086"/>
      <c r="AF60" s="1086"/>
    </row>
    <row r="61" spans="1:38" x14ac:dyDescent="0.25">
      <c r="A61" t="s">
        <v>2087</v>
      </c>
      <c r="B61" t="s">
        <v>2118</v>
      </c>
      <c r="C61" t="s">
        <v>2028</v>
      </c>
      <c r="D61" t="s">
        <v>2036</v>
      </c>
      <c r="E61" t="s">
        <v>95</v>
      </c>
      <c r="F61" t="s">
        <v>4201</v>
      </c>
      <c r="G61">
        <v>2022</v>
      </c>
      <c r="H61" t="s">
        <v>2647</v>
      </c>
      <c r="I61" s="786">
        <f>$X$54</f>
        <v>4.0139114276615019E-3</v>
      </c>
      <c r="J61" s="787"/>
      <c r="K61" s="52" t="s">
        <v>4234</v>
      </c>
      <c r="L61" s="377">
        <v>1</v>
      </c>
      <c r="M61" s="377">
        <v>1</v>
      </c>
      <c r="N61" s="377">
        <v>1</v>
      </c>
      <c r="O61" s="377">
        <v>2</v>
      </c>
      <c r="P61" s="377">
        <v>1</v>
      </c>
      <c r="AB61" s="1086"/>
      <c r="AC61" s="1086"/>
      <c r="AD61" s="1086"/>
      <c r="AE61" s="1086"/>
      <c r="AF61" s="1086"/>
    </row>
    <row r="62" spans="1:38" x14ac:dyDescent="0.25">
      <c r="A62" t="s">
        <v>2088</v>
      </c>
      <c r="B62" t="s">
        <v>2119</v>
      </c>
      <c r="C62" t="s">
        <v>2055</v>
      </c>
      <c r="D62" t="s">
        <v>2036</v>
      </c>
      <c r="E62" t="s">
        <v>95</v>
      </c>
      <c r="F62" t="s">
        <v>4089</v>
      </c>
      <c r="G62">
        <v>2024</v>
      </c>
      <c r="H62" t="s">
        <v>2647</v>
      </c>
      <c r="I62" s="786">
        <f>($Y$22)-I51</f>
        <v>1.5629899999999959E-3</v>
      </c>
      <c r="J62" s="787"/>
      <c r="K62" s="52" t="s">
        <v>2648</v>
      </c>
      <c r="L62" s="377">
        <v>1</v>
      </c>
      <c r="M62" s="377">
        <v>1</v>
      </c>
      <c r="N62" s="377">
        <v>1</v>
      </c>
      <c r="O62" s="377">
        <v>2</v>
      </c>
      <c r="P62" s="377">
        <v>1</v>
      </c>
    </row>
    <row r="63" spans="1:38" x14ac:dyDescent="0.25">
      <c r="A63" t="s">
        <v>2089</v>
      </c>
      <c r="B63" t="s">
        <v>2120</v>
      </c>
      <c r="C63" t="s">
        <v>2060</v>
      </c>
      <c r="D63" t="s">
        <v>2036</v>
      </c>
      <c r="E63" t="s">
        <v>95</v>
      </c>
      <c r="F63" t="s">
        <v>4089</v>
      </c>
      <c r="G63">
        <v>2024</v>
      </c>
      <c r="H63" t="s">
        <v>2647</v>
      </c>
      <c r="I63" s="786"/>
      <c r="J63" s="787">
        <f>($Y$23)-J52</f>
        <v>9.7271799999999525E-4</v>
      </c>
      <c r="K63" s="52" t="s">
        <v>2648</v>
      </c>
      <c r="L63" s="377">
        <v>1</v>
      </c>
      <c r="M63" s="377">
        <v>1</v>
      </c>
      <c r="N63" s="377">
        <v>1</v>
      </c>
      <c r="O63" s="377">
        <v>2</v>
      </c>
      <c r="P63" s="377">
        <v>1</v>
      </c>
    </row>
    <row r="64" spans="1:38" x14ac:dyDescent="0.25">
      <c r="A64" t="s">
        <v>4085</v>
      </c>
      <c r="B64" t="s">
        <v>4082</v>
      </c>
      <c r="C64" t="s">
        <v>4083</v>
      </c>
      <c r="D64" t="s">
        <v>2036</v>
      </c>
      <c r="E64" t="s">
        <v>95</v>
      </c>
      <c r="F64" t="s">
        <v>4089</v>
      </c>
      <c r="G64">
        <v>2024</v>
      </c>
      <c r="H64" t="s">
        <v>2647</v>
      </c>
      <c r="I64" s="786">
        <f>($Y$27)-I53</f>
        <v>9.727179999999959E-4</v>
      </c>
      <c r="J64" s="787"/>
      <c r="K64" s="52" t="s">
        <v>2889</v>
      </c>
      <c r="L64" s="377">
        <v>1</v>
      </c>
      <c r="M64" s="377">
        <v>1</v>
      </c>
      <c r="N64" s="377">
        <v>1</v>
      </c>
      <c r="O64" s="377">
        <v>2</v>
      </c>
      <c r="P64" s="377">
        <v>1</v>
      </c>
    </row>
    <row r="65" spans="1:38" x14ac:dyDescent="0.25">
      <c r="A65" t="s">
        <v>2090</v>
      </c>
      <c r="B65" t="s">
        <v>2121</v>
      </c>
      <c r="C65" t="s">
        <v>2058</v>
      </c>
      <c r="D65" t="s">
        <v>2036</v>
      </c>
      <c r="E65" t="s">
        <v>95</v>
      </c>
      <c r="F65" t="s">
        <v>2126</v>
      </c>
      <c r="G65">
        <v>2023</v>
      </c>
      <c r="H65" t="s">
        <v>2647</v>
      </c>
      <c r="I65" s="786">
        <f>$AF$52</f>
        <v>3.7833037262720204E-3</v>
      </c>
      <c r="J65" s="787"/>
      <c r="K65" s="52" t="s">
        <v>2654</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2647</v>
      </c>
      <c r="I66" s="786">
        <f>$AF$48</f>
        <v>3.7464438356699901E-3</v>
      </c>
      <c r="J66" s="787"/>
      <c r="K66" s="52" t="s">
        <v>2655</v>
      </c>
      <c r="L66" s="377">
        <v>1</v>
      </c>
      <c r="M66" s="377">
        <v>1</v>
      </c>
      <c r="N66" s="377">
        <v>1</v>
      </c>
      <c r="O66" s="377">
        <v>3</v>
      </c>
      <c r="P66" s="377">
        <v>1</v>
      </c>
      <c r="V66" s="593"/>
    </row>
    <row r="67" spans="1:38" x14ac:dyDescent="0.25">
      <c r="A67" t="s">
        <v>2092</v>
      </c>
      <c r="B67" t="s">
        <v>2123</v>
      </c>
      <c r="C67" t="s">
        <v>2030</v>
      </c>
      <c r="D67" t="s">
        <v>2036</v>
      </c>
      <c r="E67" t="s">
        <v>95</v>
      </c>
      <c r="F67" t="s">
        <v>4089</v>
      </c>
      <c r="G67">
        <v>2024</v>
      </c>
      <c r="H67" t="s">
        <v>2647</v>
      </c>
      <c r="I67" s="786">
        <f>($Y$24)-I56</f>
        <v>1.9067139762607714E-3</v>
      </c>
      <c r="J67" s="787"/>
      <c r="K67" s="52" t="s">
        <v>2648</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2647</v>
      </c>
      <c r="I68" s="786">
        <f>$AF$56</f>
        <v>6.4396722424694296E-5</v>
      </c>
      <c r="J68" s="787"/>
      <c r="K68" s="52" t="s">
        <v>2656</v>
      </c>
      <c r="L68" s="377">
        <v>1</v>
      </c>
      <c r="M68" s="377">
        <v>1</v>
      </c>
      <c r="N68" s="377">
        <v>1</v>
      </c>
      <c r="O68" s="377">
        <v>3</v>
      </c>
      <c r="P68" s="377">
        <v>2</v>
      </c>
      <c r="V68" s="593"/>
      <c r="AE68" s="593"/>
      <c r="AF68" s="593"/>
    </row>
    <row r="69" spans="1:38" x14ac:dyDescent="0.25">
      <c r="A69" t="s">
        <v>2067</v>
      </c>
      <c r="B69" t="s">
        <v>436</v>
      </c>
      <c r="C69" t="s">
        <v>2115</v>
      </c>
      <c r="D69" t="s">
        <v>2034</v>
      </c>
      <c r="E69" t="s">
        <v>95</v>
      </c>
      <c r="F69" t="s">
        <v>4089</v>
      </c>
      <c r="G69">
        <v>2024</v>
      </c>
      <c r="H69" t="s">
        <v>2127</v>
      </c>
      <c r="I69" s="786">
        <f t="shared" ref="I69:I90" si="0">I3+$U$39*I25+$U$40*I47</f>
        <v>20.26855283503415</v>
      </c>
      <c r="J69" s="787"/>
      <c r="K69" s="52" t="s">
        <v>2660</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4246</v>
      </c>
      <c r="L70" s="377">
        <v>1</v>
      </c>
      <c r="M70" s="377">
        <v>1</v>
      </c>
      <c r="N70" s="377">
        <v>1</v>
      </c>
      <c r="O70" s="377">
        <v>3</v>
      </c>
      <c r="P70" s="377">
        <v>1</v>
      </c>
      <c r="AE70" s="593"/>
      <c r="AF70" s="593"/>
    </row>
    <row r="71" spans="1:38" x14ac:dyDescent="0.25">
      <c r="A71" t="s">
        <v>2068</v>
      </c>
      <c r="B71" t="s">
        <v>436</v>
      </c>
      <c r="C71" t="s">
        <v>2117</v>
      </c>
      <c r="D71" t="s">
        <v>2034</v>
      </c>
      <c r="E71" t="s">
        <v>95</v>
      </c>
      <c r="F71" t="s">
        <v>4089</v>
      </c>
      <c r="G71">
        <v>2024</v>
      </c>
      <c r="H71" t="s">
        <v>2127</v>
      </c>
      <c r="I71" s="786">
        <f t="shared" si="0"/>
        <v>22.075886699632967</v>
      </c>
      <c r="J71" s="787"/>
      <c r="K71" s="52" t="s">
        <v>2661</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4302</v>
      </c>
      <c r="L72" s="377">
        <v>1</v>
      </c>
      <c r="M72" s="377">
        <v>1</v>
      </c>
      <c r="N72" s="377">
        <v>1</v>
      </c>
      <c r="O72" s="377">
        <v>1</v>
      </c>
      <c r="P72" s="377">
        <v>1</v>
      </c>
      <c r="AL72" s="593"/>
    </row>
    <row r="73" spans="1:38" x14ac:dyDescent="0.25">
      <c r="A73" t="s">
        <v>2069</v>
      </c>
      <c r="B73" t="s">
        <v>436</v>
      </c>
      <c r="C73" t="s">
        <v>2119</v>
      </c>
      <c r="D73" t="s">
        <v>2034</v>
      </c>
      <c r="E73" t="s">
        <v>95</v>
      </c>
      <c r="F73" t="s">
        <v>4089</v>
      </c>
      <c r="G73">
        <v>2024</v>
      </c>
      <c r="H73" t="s">
        <v>2127</v>
      </c>
      <c r="I73" s="786">
        <f t="shared" si="0"/>
        <v>13.483538916884822</v>
      </c>
      <c r="J73" s="787"/>
      <c r="K73" s="52" t="s">
        <v>2661</v>
      </c>
      <c r="L73" s="377">
        <v>1</v>
      </c>
      <c r="M73" s="377">
        <v>1</v>
      </c>
      <c r="N73" s="377">
        <v>1</v>
      </c>
      <c r="O73" s="377">
        <v>2</v>
      </c>
      <c r="P73" s="377">
        <v>1</v>
      </c>
      <c r="AE73" s="593"/>
      <c r="AF73" s="593"/>
    </row>
    <row r="74" spans="1:38" x14ac:dyDescent="0.25">
      <c r="A74" t="s">
        <v>2070</v>
      </c>
      <c r="B74" t="s">
        <v>436</v>
      </c>
      <c r="C74" t="s">
        <v>2120</v>
      </c>
      <c r="D74" t="s">
        <v>2034</v>
      </c>
      <c r="E74" t="s">
        <v>95</v>
      </c>
      <c r="F74" t="s">
        <v>4089</v>
      </c>
      <c r="G74">
        <v>2024</v>
      </c>
      <c r="H74" t="s">
        <v>2127</v>
      </c>
      <c r="I74" s="786"/>
      <c r="J74" s="787">
        <f>J8+$U$39*J30+$U$40*J52</f>
        <v>21.239639008438264</v>
      </c>
      <c r="K74" s="52" t="s">
        <v>2661</v>
      </c>
      <c r="L74" s="377">
        <v>1</v>
      </c>
      <c r="M74" s="377">
        <v>1</v>
      </c>
      <c r="N74" s="377">
        <v>1</v>
      </c>
      <c r="O74" s="377">
        <v>2</v>
      </c>
      <c r="P74" s="377">
        <v>1</v>
      </c>
    </row>
    <row r="75" spans="1:38" x14ac:dyDescent="0.25">
      <c r="A75" t="s">
        <v>4084</v>
      </c>
      <c r="B75" t="s">
        <v>2897</v>
      </c>
      <c r="C75" t="s">
        <v>4082</v>
      </c>
      <c r="D75" t="s">
        <v>2034</v>
      </c>
      <c r="E75" t="s">
        <v>95</v>
      </c>
      <c r="F75" t="s">
        <v>4089</v>
      </c>
      <c r="G75">
        <v>2024</v>
      </c>
      <c r="H75" t="s">
        <v>2127</v>
      </c>
      <c r="I75" s="786">
        <f t="shared" si="0"/>
        <v>10.259631787384821</v>
      </c>
      <c r="J75" s="787"/>
      <c r="K75" s="52" t="s">
        <v>2661</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2662</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2663</v>
      </c>
      <c r="L77" s="377">
        <v>1</v>
      </c>
      <c r="M77" s="377">
        <v>1</v>
      </c>
      <c r="N77" s="377">
        <v>1</v>
      </c>
      <c r="O77" s="377">
        <v>3</v>
      </c>
      <c r="P77" s="377">
        <v>1</v>
      </c>
      <c r="AL77" s="593"/>
    </row>
    <row r="78" spans="1:38" x14ac:dyDescent="0.25">
      <c r="A78" t="s">
        <v>2073</v>
      </c>
      <c r="B78" t="s">
        <v>436</v>
      </c>
      <c r="C78" t="s">
        <v>2123</v>
      </c>
      <c r="D78" t="s">
        <v>2034</v>
      </c>
      <c r="E78" t="s">
        <v>95</v>
      </c>
      <c r="F78" t="s">
        <v>4089</v>
      </c>
      <c r="G78">
        <v>2024</v>
      </c>
      <c r="H78" t="s">
        <v>2127</v>
      </c>
      <c r="I78" s="786">
        <f t="shared" si="0"/>
        <v>15.133476125808887</v>
      </c>
      <c r="J78" s="787"/>
      <c r="K78" s="52" t="s">
        <v>2661</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4205</v>
      </c>
      <c r="L79" s="377">
        <v>1</v>
      </c>
      <c r="M79" s="377">
        <v>1</v>
      </c>
      <c r="N79" s="377">
        <v>1</v>
      </c>
      <c r="O79" s="377">
        <v>3</v>
      </c>
      <c r="P79" s="377">
        <v>2</v>
      </c>
    </row>
    <row r="80" spans="1:38" x14ac:dyDescent="0.25">
      <c r="A80" t="s">
        <v>2084</v>
      </c>
      <c r="B80" t="s">
        <v>2115</v>
      </c>
      <c r="C80" t="s">
        <v>2029</v>
      </c>
      <c r="D80" t="s">
        <v>2034</v>
      </c>
      <c r="E80" t="s">
        <v>95</v>
      </c>
      <c r="F80" t="s">
        <v>4089</v>
      </c>
      <c r="G80">
        <v>2024</v>
      </c>
      <c r="H80" t="s">
        <v>2127</v>
      </c>
      <c r="I80" s="786">
        <f t="shared" si="0"/>
        <v>71.436356445911414</v>
      </c>
      <c r="J80" s="787"/>
      <c r="K80" s="52" t="s">
        <v>2664</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4238</v>
      </c>
      <c r="L81" s="377">
        <v>1</v>
      </c>
      <c r="M81" s="377">
        <v>1</v>
      </c>
      <c r="N81" s="377">
        <v>1</v>
      </c>
      <c r="O81" s="377">
        <v>3</v>
      </c>
      <c r="P81" s="377">
        <v>1</v>
      </c>
    </row>
    <row r="82" spans="1:38" x14ac:dyDescent="0.25">
      <c r="A82" t="s">
        <v>2086</v>
      </c>
      <c r="B82" t="s">
        <v>2117</v>
      </c>
      <c r="C82" t="s">
        <v>2027</v>
      </c>
      <c r="D82" t="s">
        <v>2034</v>
      </c>
      <c r="E82" t="s">
        <v>95</v>
      </c>
      <c r="F82" t="s">
        <v>4089</v>
      </c>
      <c r="G82">
        <v>2024</v>
      </c>
      <c r="H82" t="s">
        <v>2127</v>
      </c>
      <c r="I82" s="786">
        <f t="shared" si="0"/>
        <v>70.466251107226043</v>
      </c>
      <c r="J82" s="787"/>
      <c r="K82" s="52" t="s">
        <v>2664</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4239</v>
      </c>
      <c r="L83" s="377">
        <v>1</v>
      </c>
      <c r="M83" s="377">
        <v>1</v>
      </c>
      <c r="N83" s="377">
        <v>1</v>
      </c>
      <c r="O83" s="377">
        <v>3</v>
      </c>
      <c r="P83" s="377">
        <v>1</v>
      </c>
    </row>
    <row r="84" spans="1:38" x14ac:dyDescent="0.25">
      <c r="A84" t="s">
        <v>2088</v>
      </c>
      <c r="B84" t="s">
        <v>2119</v>
      </c>
      <c r="C84" t="s">
        <v>2055</v>
      </c>
      <c r="D84" t="s">
        <v>2034</v>
      </c>
      <c r="E84" t="s">
        <v>95</v>
      </c>
      <c r="F84" t="s">
        <v>4089</v>
      </c>
      <c r="G84">
        <v>2024</v>
      </c>
      <c r="H84" t="s">
        <v>2127</v>
      </c>
      <c r="I84" s="786">
        <f t="shared" si="0"/>
        <v>56.907831669999887</v>
      </c>
      <c r="J84" s="787"/>
      <c r="K84" s="52" t="s">
        <v>2664</v>
      </c>
      <c r="L84" s="377">
        <v>1</v>
      </c>
      <c r="M84" s="377">
        <v>1</v>
      </c>
      <c r="N84" s="377">
        <v>1</v>
      </c>
      <c r="O84" s="377">
        <v>2</v>
      </c>
      <c r="P84" s="377">
        <v>1</v>
      </c>
      <c r="AD84" s="593"/>
      <c r="AE84" s="593"/>
      <c r="AL84" s="593"/>
    </row>
    <row r="85" spans="1:38" x14ac:dyDescent="0.25">
      <c r="A85" t="s">
        <v>2089</v>
      </c>
      <c r="B85" t="s">
        <v>2120</v>
      </c>
      <c r="C85" t="s">
        <v>2060</v>
      </c>
      <c r="D85" t="s">
        <v>2034</v>
      </c>
      <c r="E85" t="s">
        <v>95</v>
      </c>
      <c r="F85" t="s">
        <v>4089</v>
      </c>
      <c r="G85">
        <v>2024</v>
      </c>
      <c r="H85" t="s">
        <v>2127</v>
      </c>
      <c r="I85" s="786"/>
      <c r="J85" s="787">
        <f>J19+$U$39*J41+$U$40*J63</f>
        <v>50.067685626000006</v>
      </c>
      <c r="K85" s="52" t="s">
        <v>2664</v>
      </c>
      <c r="L85" s="377">
        <v>1</v>
      </c>
      <c r="M85" s="377">
        <v>1</v>
      </c>
      <c r="N85" s="377">
        <v>1</v>
      </c>
      <c r="O85" s="377">
        <v>2</v>
      </c>
      <c r="P85" s="377">
        <v>1</v>
      </c>
      <c r="AD85" s="593"/>
      <c r="AE85" s="593"/>
    </row>
    <row r="86" spans="1:38" x14ac:dyDescent="0.25">
      <c r="A86" t="s">
        <v>4085</v>
      </c>
      <c r="B86" t="s">
        <v>4082</v>
      </c>
      <c r="C86" t="s">
        <v>4083</v>
      </c>
      <c r="D86" t="s">
        <v>2034</v>
      </c>
      <c r="E86" t="s">
        <v>95</v>
      </c>
      <c r="F86" t="s">
        <v>4089</v>
      </c>
      <c r="G86">
        <v>2024</v>
      </c>
      <c r="H86" t="s">
        <v>2127</v>
      </c>
      <c r="I86" s="786">
        <f t="shared" si="0"/>
        <v>50.067685625999893</v>
      </c>
      <c r="J86" s="787"/>
      <c r="K86" s="52" t="s">
        <v>2890</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2665</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2666</v>
      </c>
      <c r="L88" s="377">
        <v>1</v>
      </c>
      <c r="M88" s="377">
        <v>1</v>
      </c>
      <c r="N88" s="377">
        <v>1</v>
      </c>
      <c r="O88" s="377">
        <v>3</v>
      </c>
      <c r="P88" s="377">
        <v>1</v>
      </c>
    </row>
    <row r="89" spans="1:38" x14ac:dyDescent="0.25">
      <c r="A89" t="s">
        <v>2092</v>
      </c>
      <c r="B89" t="s">
        <v>2123</v>
      </c>
      <c r="C89" t="s">
        <v>2030</v>
      </c>
      <c r="D89" t="s">
        <v>2034</v>
      </c>
      <c r="E89" t="s">
        <v>95</v>
      </c>
      <c r="F89" t="s">
        <v>4089</v>
      </c>
      <c r="G89">
        <v>2024</v>
      </c>
      <c r="H89" t="s">
        <v>2127</v>
      </c>
      <c r="I89" s="786">
        <f t="shared" si="0"/>
        <v>69.134128389806449</v>
      </c>
      <c r="J89" s="787"/>
      <c r="K89" s="52" t="s">
        <v>2664</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4240</v>
      </c>
      <c r="L90" s="377">
        <v>1</v>
      </c>
      <c r="M90" s="377">
        <v>1</v>
      </c>
      <c r="N90" s="377">
        <v>1</v>
      </c>
      <c r="O90" s="377">
        <v>3</v>
      </c>
      <c r="P90" s="377">
        <v>2</v>
      </c>
      <c r="AK90" s="593"/>
    </row>
    <row r="91" spans="1:38" x14ac:dyDescent="0.25">
      <c r="A91" t="s">
        <v>4693</v>
      </c>
      <c r="B91" t="s">
        <v>4083</v>
      </c>
      <c r="C91" t="s">
        <v>2893</v>
      </c>
      <c r="D91" t="s">
        <v>2035</v>
      </c>
      <c r="E91" t="s">
        <v>95</v>
      </c>
      <c r="F91" t="s">
        <v>4700</v>
      </c>
      <c r="G91">
        <v>2021</v>
      </c>
      <c r="H91" t="s">
        <v>2638</v>
      </c>
      <c r="I91" s="780">
        <f>-0.9*I20/Efficiency!$AC$177</f>
        <v>-60.911160022107474</v>
      </c>
      <c r="K91" s="52" t="s">
        <v>4749</v>
      </c>
      <c r="L91" s="377">
        <v>2</v>
      </c>
      <c r="M91" s="377">
        <v>1</v>
      </c>
      <c r="N91" s="377">
        <v>1</v>
      </c>
      <c r="O91" s="377">
        <v>3</v>
      </c>
      <c r="P91" s="377">
        <v>1</v>
      </c>
    </row>
    <row r="92" spans="1:38" x14ac:dyDescent="0.25">
      <c r="A92" t="s">
        <v>4693</v>
      </c>
      <c r="B92" t="s">
        <v>4083</v>
      </c>
      <c r="C92" t="s">
        <v>2893</v>
      </c>
      <c r="D92" t="s">
        <v>2034</v>
      </c>
      <c r="E92" t="s">
        <v>95</v>
      </c>
      <c r="F92" t="s">
        <v>4700</v>
      </c>
      <c r="G92">
        <v>2021</v>
      </c>
      <c r="H92" t="s">
        <v>2127</v>
      </c>
      <c r="I92" s="780">
        <f>I91 + $U$39*I42/Efficiency!$AC$177 + $U$40*I64/Efficiency!$AC$177</f>
        <v>-60.332880797273276</v>
      </c>
      <c r="K92" s="52" t="s">
        <v>4750</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A136:A146 A132</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A165:A173 A133:A135</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A49:A60 A91:A121</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topLeftCell="Q17" workbookViewId="0">
      <selection activeCell="AL45" sqref="AL45"/>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4860</v>
      </c>
      <c r="G1" s="1013" t="s">
        <v>2080</v>
      </c>
      <c r="I1" s="1037" t="s">
        <v>147</v>
      </c>
      <c r="J1" s="1038"/>
      <c r="K1" s="1038"/>
      <c r="L1" s="1038"/>
      <c r="M1" s="1038"/>
      <c r="N1" s="1043" t="s">
        <v>2640</v>
      </c>
      <c r="P1" s="1043" t="s">
        <v>2641</v>
      </c>
      <c r="Q1" s="1015" t="s">
        <v>4848</v>
      </c>
      <c r="S1" s="126"/>
      <c r="T1" s="126"/>
      <c r="U1" s="126"/>
      <c r="V1" s="126"/>
      <c r="W1" s="1016"/>
      <c r="X1" s="1016"/>
      <c r="AE1" s="28" t="s">
        <v>4839</v>
      </c>
      <c r="AL1" s="159" t="s">
        <v>4840</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43"/>
      <c r="O2" s="735"/>
      <c r="P2" s="1043"/>
      <c r="Q2" s="1023"/>
      <c r="R2" s="1024" t="s">
        <v>4825</v>
      </c>
      <c r="S2" s="1024" t="s">
        <v>4826</v>
      </c>
      <c r="T2" s="1024" t="s">
        <v>4827</v>
      </c>
      <c r="U2" s="1024" t="s">
        <v>4828</v>
      </c>
      <c r="V2" s="1024" t="s">
        <v>4832</v>
      </c>
      <c r="W2" s="1024" t="s">
        <v>4833</v>
      </c>
      <c r="X2" s="1024" t="s">
        <v>4834</v>
      </c>
      <c r="Y2" s="1024" t="s">
        <v>4835</v>
      </c>
      <c r="Z2" s="1024" t="s">
        <v>4836</v>
      </c>
      <c r="AA2" s="1024" t="s">
        <v>4837</v>
      </c>
      <c r="AB2" s="1024" t="s">
        <v>4829</v>
      </c>
      <c r="AC2" s="1025" t="s">
        <v>4830</v>
      </c>
      <c r="AE2" s="281" t="s">
        <v>4249</v>
      </c>
      <c r="AF2" s="281">
        <v>2023</v>
      </c>
      <c r="AG2" s="281">
        <v>2025</v>
      </c>
      <c r="AH2" s="281">
        <v>2030</v>
      </c>
      <c r="AI2" s="281">
        <v>2050</v>
      </c>
      <c r="AJ2" s="104" t="s">
        <v>4841</v>
      </c>
      <c r="AL2" s="281" t="s">
        <v>4053</v>
      </c>
      <c r="AM2" s="281" t="s">
        <v>1482</v>
      </c>
      <c r="AN2" s="281" t="s">
        <v>3998</v>
      </c>
    </row>
    <row r="3" spans="1:40" ht="15.75" thickTop="1" x14ac:dyDescent="0.25">
      <c r="A3" s="234" t="s">
        <v>1004</v>
      </c>
      <c r="B3" t="s">
        <v>2035</v>
      </c>
      <c r="C3" t="s">
        <v>95</v>
      </c>
      <c r="D3" t="s">
        <v>2126</v>
      </c>
      <c r="E3">
        <v>2024</v>
      </c>
      <c r="F3" t="s">
        <v>4844</v>
      </c>
      <c r="G3" s="1033">
        <f>$R$9/1000000</f>
        <v>5.6779834882570333</v>
      </c>
      <c r="H3" s="52" t="s">
        <v>4861</v>
      </c>
      <c r="I3" s="377">
        <v>1</v>
      </c>
      <c r="J3" s="377">
        <v>1</v>
      </c>
      <c r="K3" s="377">
        <v>1</v>
      </c>
      <c r="L3" s="377">
        <v>3</v>
      </c>
      <c r="M3" s="377">
        <v>1</v>
      </c>
      <c r="N3" s="1043"/>
      <c r="P3" s="1043"/>
      <c r="Q3" s="54" t="s">
        <v>2348</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2126</v>
      </c>
      <c r="E4">
        <v>2024</v>
      </c>
      <c r="F4" t="s">
        <v>4845</v>
      </c>
      <c r="G4" s="1033">
        <f>$R$11/1000000</f>
        <v>1.3155675455393586E-2</v>
      </c>
      <c r="H4" s="52" t="s">
        <v>4861</v>
      </c>
      <c r="I4" s="377">
        <v>1</v>
      </c>
      <c r="J4" s="377">
        <v>1</v>
      </c>
      <c r="K4" s="377">
        <v>1</v>
      </c>
      <c r="L4" s="377">
        <v>3</v>
      </c>
      <c r="M4" s="377">
        <v>1</v>
      </c>
      <c r="N4" s="1043"/>
      <c r="P4" s="1043"/>
      <c r="Q4" s="54" t="s">
        <v>2349</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4423</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2126</v>
      </c>
      <c r="E5">
        <v>2024</v>
      </c>
      <c r="F5" t="s">
        <v>4846</v>
      </c>
      <c r="G5" s="1033">
        <f>$R$12/1000000</f>
        <v>1.7419041289089867E-4</v>
      </c>
      <c r="H5" s="52" t="s">
        <v>4861</v>
      </c>
      <c r="I5" s="377">
        <v>1</v>
      </c>
      <c r="J5" s="377">
        <v>1</v>
      </c>
      <c r="K5" s="377">
        <v>1</v>
      </c>
      <c r="L5" s="377">
        <v>3</v>
      </c>
      <c r="M5" s="377">
        <v>1</v>
      </c>
      <c r="N5" s="1043"/>
      <c r="P5" s="1043"/>
      <c r="Q5" s="54" t="s">
        <v>2221</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4424</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2126</v>
      </c>
      <c r="E6">
        <v>2024</v>
      </c>
      <c r="F6" t="s">
        <v>4844</v>
      </c>
      <c r="G6" s="1033">
        <f>$R$9/1000000</f>
        <v>5.6779834882570333</v>
      </c>
      <c r="H6" s="52" t="s">
        <v>4861</v>
      </c>
      <c r="I6" s="377">
        <v>1</v>
      </c>
      <c r="J6" s="377">
        <v>1</v>
      </c>
      <c r="K6" s="377">
        <v>1</v>
      </c>
      <c r="L6" s="377">
        <v>3</v>
      </c>
      <c r="M6" s="377">
        <v>1</v>
      </c>
      <c r="N6" s="1043"/>
      <c r="P6" s="1043"/>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2997</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2126</v>
      </c>
      <c r="E7">
        <v>2024</v>
      </c>
      <c r="F7" t="s">
        <v>4845</v>
      </c>
      <c r="G7" s="1033">
        <f>$R$11/1000000</f>
        <v>1.3155675455393586E-2</v>
      </c>
      <c r="H7" s="52" t="s">
        <v>4861</v>
      </c>
      <c r="I7" s="377">
        <v>1</v>
      </c>
      <c r="J7" s="377">
        <v>1</v>
      </c>
      <c r="K7" s="377">
        <v>1</v>
      </c>
      <c r="L7" s="377">
        <v>3</v>
      </c>
      <c r="M7" s="377">
        <v>1</v>
      </c>
      <c r="N7" s="1043"/>
      <c r="P7" s="1043"/>
      <c r="Q7" s="54" t="s">
        <v>2350</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2126</v>
      </c>
      <c r="E8">
        <v>2024</v>
      </c>
      <c r="F8" t="s">
        <v>4846</v>
      </c>
      <c r="G8" s="1033">
        <f>$R$12/1000000</f>
        <v>1.7419041289089867E-4</v>
      </c>
      <c r="H8" s="52" t="s">
        <v>4861</v>
      </c>
      <c r="I8" s="377">
        <v>1</v>
      </c>
      <c r="J8" s="377">
        <v>1</v>
      </c>
      <c r="K8" s="377">
        <v>1</v>
      </c>
      <c r="L8" s="377">
        <v>3</v>
      </c>
      <c r="M8" s="377">
        <v>1</v>
      </c>
      <c r="N8" s="1043"/>
      <c r="P8" s="1043"/>
      <c r="Q8" s="54" t="s">
        <v>2351</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2126</v>
      </c>
      <c r="E9">
        <v>2024</v>
      </c>
      <c r="F9" t="s">
        <v>4844</v>
      </c>
      <c r="G9" s="1033">
        <f>$R$9/1000000</f>
        <v>5.6779834882570333</v>
      </c>
      <c r="H9" s="52" t="s">
        <v>4861</v>
      </c>
      <c r="I9" s="377">
        <v>1</v>
      </c>
      <c r="J9" s="377">
        <v>1</v>
      </c>
      <c r="K9" s="377">
        <v>1</v>
      </c>
      <c r="L9" s="377">
        <v>3</v>
      </c>
      <c r="M9" s="377">
        <v>1</v>
      </c>
      <c r="N9" s="1043"/>
      <c r="P9" s="1043"/>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2126</v>
      </c>
      <c r="E10">
        <v>2024</v>
      </c>
      <c r="F10" t="s">
        <v>4845</v>
      </c>
      <c r="G10" s="1033">
        <f>$R$11/1000000</f>
        <v>1.3155675455393586E-2</v>
      </c>
      <c r="H10" s="52" t="s">
        <v>4861</v>
      </c>
      <c r="I10" s="377">
        <v>1</v>
      </c>
      <c r="J10" s="377">
        <v>1</v>
      </c>
      <c r="K10" s="377">
        <v>1</v>
      </c>
      <c r="L10" s="377">
        <v>3</v>
      </c>
      <c r="M10" s="377">
        <v>1</v>
      </c>
      <c r="N10" s="1043"/>
      <c r="P10" s="1043"/>
      <c r="Q10" s="54" t="s">
        <v>4831</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4842</v>
      </c>
      <c r="AJ10" s="85"/>
      <c r="AL10" s="28" t="s">
        <v>1481</v>
      </c>
      <c r="AM10" s="30"/>
      <c r="AN10" s="28"/>
    </row>
    <row r="11" spans="1:40" x14ac:dyDescent="0.25">
      <c r="A11" t="s">
        <v>1006</v>
      </c>
      <c r="B11" t="s">
        <v>2036</v>
      </c>
      <c r="C11" t="s">
        <v>95</v>
      </c>
      <c r="D11" t="s">
        <v>2126</v>
      </c>
      <c r="E11">
        <v>2024</v>
      </c>
      <c r="F11" t="s">
        <v>4846</v>
      </c>
      <c r="G11" s="1033">
        <f>$R$12/1000000</f>
        <v>1.7419041289089867E-4</v>
      </c>
      <c r="H11" s="52" t="s">
        <v>4861</v>
      </c>
      <c r="I11" s="377">
        <v>1</v>
      </c>
      <c r="J11" s="377">
        <v>1</v>
      </c>
      <c r="K11" s="377">
        <v>1</v>
      </c>
      <c r="L11" s="377">
        <v>3</v>
      </c>
      <c r="M11" s="377">
        <v>1</v>
      </c>
      <c r="N11" s="1043"/>
      <c r="P11" s="1043"/>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4423</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4001</v>
      </c>
      <c r="AN11" s="750">
        <f>'Background Data'!$AF$45</f>
        <v>0.64368048757149066</v>
      </c>
    </row>
    <row r="12" spans="1:40" x14ac:dyDescent="0.25">
      <c r="A12" t="s">
        <v>1007</v>
      </c>
      <c r="B12" t="s">
        <v>2035</v>
      </c>
      <c r="C12" t="s">
        <v>95</v>
      </c>
      <c r="D12" t="s">
        <v>2126</v>
      </c>
      <c r="E12">
        <v>2024</v>
      </c>
      <c r="F12" t="s">
        <v>4844</v>
      </c>
      <c r="G12" s="1033">
        <f>$T$9/1000000</f>
        <v>5.9519945641287864</v>
      </c>
      <c r="H12" s="52" t="s">
        <v>4861</v>
      </c>
      <c r="I12" s="377">
        <v>1</v>
      </c>
      <c r="J12" s="377">
        <v>1</v>
      </c>
      <c r="K12" s="377">
        <v>1</v>
      </c>
      <c r="L12" s="377">
        <v>3</v>
      </c>
      <c r="M12" s="377">
        <v>1</v>
      </c>
      <c r="N12" s="1043"/>
      <c r="P12" s="1043"/>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4424</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2126</v>
      </c>
      <c r="E13">
        <v>2024</v>
      </c>
      <c r="F13" t="s">
        <v>4845</v>
      </c>
      <c r="G13" s="1033">
        <f>$T$11/1000000</f>
        <v>1.3670426810985696E-2</v>
      </c>
      <c r="H13" s="52" t="s">
        <v>4861</v>
      </c>
      <c r="I13" s="377">
        <v>1</v>
      </c>
      <c r="J13" s="377">
        <v>1</v>
      </c>
      <c r="K13" s="377">
        <v>1</v>
      </c>
      <c r="L13" s="377">
        <v>3</v>
      </c>
      <c r="M13" s="377">
        <v>1</v>
      </c>
      <c r="N13" s="1043"/>
      <c r="P13" s="1043"/>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2997</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2126</v>
      </c>
      <c r="E14">
        <v>2024</v>
      </c>
      <c r="F14" t="s">
        <v>4846</v>
      </c>
      <c r="G14" s="1033">
        <f>$T$12/1000000</f>
        <v>2.4457874557271534E-4</v>
      </c>
      <c r="H14" s="52" t="s">
        <v>4861</v>
      </c>
      <c r="I14" s="377">
        <v>1</v>
      </c>
      <c r="J14" s="377">
        <v>1</v>
      </c>
      <c r="K14" s="377">
        <v>1</v>
      </c>
      <c r="L14" s="377">
        <v>3</v>
      </c>
      <c r="M14" s="377">
        <v>1</v>
      </c>
      <c r="N14" s="1043"/>
      <c r="P14" s="1043"/>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4390</v>
      </c>
      <c r="B15" t="s">
        <v>2035</v>
      </c>
      <c r="C15" t="s">
        <v>95</v>
      </c>
      <c r="D15" t="s">
        <v>2126</v>
      </c>
      <c r="E15">
        <v>2024</v>
      </c>
      <c r="F15" t="s">
        <v>4844</v>
      </c>
      <c r="G15" s="1033">
        <f>$V$9/1000000</f>
        <v>6.324490364725702</v>
      </c>
      <c r="H15" s="52" t="s">
        <v>4862</v>
      </c>
      <c r="I15" s="377">
        <v>1</v>
      </c>
      <c r="J15" s="377">
        <v>1</v>
      </c>
      <c r="K15" s="377">
        <v>1</v>
      </c>
      <c r="L15" s="377">
        <v>3</v>
      </c>
      <c r="M15" s="377">
        <v>1</v>
      </c>
      <c r="N15" s="1043"/>
      <c r="P15" s="1043"/>
      <c r="Q15" s="1015" t="s">
        <v>4849</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4390</v>
      </c>
      <c r="B16" t="s">
        <v>2037</v>
      </c>
      <c r="C16" t="s">
        <v>95</v>
      </c>
      <c r="D16" t="s">
        <v>2126</v>
      </c>
      <c r="E16">
        <v>2024</v>
      </c>
      <c r="F16" t="s">
        <v>4845</v>
      </c>
      <c r="G16" s="1033">
        <f>$V$11/1000000</f>
        <v>1.6206616802399747E-2</v>
      </c>
      <c r="H16" s="52" t="s">
        <v>4862</v>
      </c>
      <c r="I16" s="377">
        <v>1</v>
      </c>
      <c r="J16" s="377">
        <v>1</v>
      </c>
      <c r="K16" s="377">
        <v>1</v>
      </c>
      <c r="L16" s="377">
        <v>3</v>
      </c>
      <c r="M16" s="377">
        <v>1</v>
      </c>
      <c r="N16" s="1043"/>
      <c r="P16" s="1043"/>
      <c r="Q16" s="1023"/>
      <c r="R16" s="1024" t="s">
        <v>4825</v>
      </c>
      <c r="S16" s="1024" t="s">
        <v>4826</v>
      </c>
      <c r="T16" s="1024" t="s">
        <v>4827</v>
      </c>
      <c r="U16" s="1024" t="s">
        <v>4828</v>
      </c>
      <c r="V16" s="1024" t="s">
        <v>4832</v>
      </c>
      <c r="W16" s="1024" t="s">
        <v>4833</v>
      </c>
      <c r="X16" s="1024" t="s">
        <v>4834</v>
      </c>
      <c r="Y16" s="1024" t="s">
        <v>4835</v>
      </c>
      <c r="Z16" s="1024" t="s">
        <v>4836</v>
      </c>
      <c r="AA16" s="1024" t="s">
        <v>4837</v>
      </c>
      <c r="AB16" s="1024" t="s">
        <v>4829</v>
      </c>
      <c r="AC16" s="1025" t="s">
        <v>4830</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4390</v>
      </c>
      <c r="B17" t="s">
        <v>2036</v>
      </c>
      <c r="C17" t="s">
        <v>95</v>
      </c>
      <c r="D17" t="s">
        <v>2126</v>
      </c>
      <c r="E17">
        <v>2024</v>
      </c>
      <c r="F17" t="s">
        <v>4846</v>
      </c>
      <c r="G17" s="1033">
        <f>$V$12/1000000</f>
        <v>2.3361274622696302E-4</v>
      </c>
      <c r="H17" s="52" t="s">
        <v>4862</v>
      </c>
      <c r="I17" s="377">
        <v>1</v>
      </c>
      <c r="J17" s="377">
        <v>1</v>
      </c>
      <c r="K17" s="377">
        <v>1</v>
      </c>
      <c r="L17" s="377">
        <v>3</v>
      </c>
      <c r="M17" s="377">
        <v>1</v>
      </c>
      <c r="N17" s="1043"/>
      <c r="P17" s="1043"/>
      <c r="Q17" s="54" t="s">
        <v>2348</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4843</v>
      </c>
    </row>
    <row r="18" spans="1:40" x14ac:dyDescent="0.25">
      <c r="A18" t="s">
        <v>1009</v>
      </c>
      <c r="B18" t="s">
        <v>2035</v>
      </c>
      <c r="C18" t="s">
        <v>95</v>
      </c>
      <c r="D18" t="s">
        <v>2126</v>
      </c>
      <c r="E18">
        <v>2024</v>
      </c>
      <c r="F18" t="s">
        <v>4844</v>
      </c>
      <c r="G18" s="1033">
        <f>$W$9/1000000</f>
        <v>6.6339863556273118</v>
      </c>
      <c r="H18" s="52" t="s">
        <v>4862</v>
      </c>
      <c r="I18" s="377">
        <v>1</v>
      </c>
      <c r="J18" s="377">
        <v>1</v>
      </c>
      <c r="K18" s="377">
        <v>1</v>
      </c>
      <c r="L18" s="377">
        <v>3</v>
      </c>
      <c r="M18" s="377">
        <v>1</v>
      </c>
      <c r="N18" s="1043"/>
      <c r="P18" s="1043"/>
      <c r="Q18" s="54" t="s">
        <v>2349</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4423</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38" t="s">
        <v>1546</v>
      </c>
      <c r="AM18" s="1038"/>
      <c r="AN18" s="1038"/>
    </row>
    <row r="19" spans="1:40" ht="15.75" thickBot="1" x14ac:dyDescent="0.3">
      <c r="A19" t="s">
        <v>1009</v>
      </c>
      <c r="B19" t="s">
        <v>2037</v>
      </c>
      <c r="C19" t="s">
        <v>95</v>
      </c>
      <c r="D19" t="s">
        <v>2126</v>
      </c>
      <c r="E19">
        <v>2024</v>
      </c>
      <c r="F19" t="s">
        <v>4845</v>
      </c>
      <c r="G19" s="1033">
        <f>$W$11/1000000</f>
        <v>1.7721473353866292E-2</v>
      </c>
      <c r="H19" s="52" t="s">
        <v>4862</v>
      </c>
      <c r="I19" s="377">
        <v>1</v>
      </c>
      <c r="J19" s="377">
        <v>1</v>
      </c>
      <c r="K19" s="377">
        <v>1</v>
      </c>
      <c r="L19" s="377">
        <v>3</v>
      </c>
      <c r="M19" s="377">
        <v>1</v>
      </c>
      <c r="N19" s="1043"/>
      <c r="P19" s="1043"/>
      <c r="Q19" s="54" t="s">
        <v>2221</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4424</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2126</v>
      </c>
      <c r="E20">
        <v>2024</v>
      </c>
      <c r="F20" t="s">
        <v>4846</v>
      </c>
      <c r="G20" s="1033">
        <f>$W$12/1000000</f>
        <v>2.4332784593619419E-4</v>
      </c>
      <c r="H20" s="52" t="s">
        <v>4862</v>
      </c>
      <c r="I20" s="377">
        <v>1</v>
      </c>
      <c r="J20" s="377">
        <v>1</v>
      </c>
      <c r="K20" s="377">
        <v>1</v>
      </c>
      <c r="L20" s="377">
        <v>3</v>
      </c>
      <c r="M20" s="377">
        <v>1</v>
      </c>
      <c r="N20" s="1043"/>
      <c r="P20" s="1043"/>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2997</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4395</v>
      </c>
      <c r="B21" t="s">
        <v>2035</v>
      </c>
      <c r="C21" t="s">
        <v>95</v>
      </c>
      <c r="D21" t="s">
        <v>2126</v>
      </c>
      <c r="E21">
        <v>2024</v>
      </c>
      <c r="F21" t="s">
        <v>4844</v>
      </c>
      <c r="G21" s="1033">
        <f>$X$9/1000000</f>
        <v>6.8117083447614029</v>
      </c>
      <c r="H21" s="52" t="s">
        <v>4862</v>
      </c>
      <c r="I21" s="377">
        <v>1</v>
      </c>
      <c r="J21" s="377">
        <v>1</v>
      </c>
      <c r="K21" s="377">
        <v>1</v>
      </c>
      <c r="L21" s="377">
        <v>3</v>
      </c>
      <c r="M21" s="377">
        <v>1</v>
      </c>
      <c r="N21" s="1043"/>
      <c r="P21" s="1043"/>
      <c r="Q21" s="54" t="s">
        <v>2350</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3999</v>
      </c>
      <c r="AM21" t="s">
        <v>1931</v>
      </c>
      <c r="AN21" s="750">
        <v>0.18272858103533385</v>
      </c>
    </row>
    <row r="22" spans="1:40" x14ac:dyDescent="0.25">
      <c r="A22" t="s">
        <v>4395</v>
      </c>
      <c r="B22" t="s">
        <v>2037</v>
      </c>
      <c r="C22" t="s">
        <v>95</v>
      </c>
      <c r="D22" t="s">
        <v>2126</v>
      </c>
      <c r="E22">
        <v>2024</v>
      </c>
      <c r="F22" t="s">
        <v>4845</v>
      </c>
      <c r="G22" s="1033">
        <f>$X$11/1000000</f>
        <v>2.1711212641695125E-2</v>
      </c>
      <c r="H22" s="52" t="s">
        <v>4862</v>
      </c>
      <c r="I22" s="377">
        <v>1</v>
      </c>
      <c r="J22" s="377">
        <v>1</v>
      </c>
      <c r="K22" s="377">
        <v>1</v>
      </c>
      <c r="L22" s="377">
        <v>3</v>
      </c>
      <c r="M22" s="377">
        <v>1</v>
      </c>
      <c r="N22" s="1043"/>
      <c r="P22" s="1043"/>
      <c r="Q22" s="54" t="s">
        <v>2351</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4000</v>
      </c>
      <c r="AM22" t="s">
        <v>1932</v>
      </c>
      <c r="AN22" s="750">
        <v>0.81727141896466615</v>
      </c>
    </row>
    <row r="23" spans="1:40" x14ac:dyDescent="0.25">
      <c r="A23" t="s">
        <v>4395</v>
      </c>
      <c r="B23" t="s">
        <v>2036</v>
      </c>
      <c r="C23" t="s">
        <v>95</v>
      </c>
      <c r="D23" t="s">
        <v>2126</v>
      </c>
      <c r="E23">
        <v>2024</v>
      </c>
      <c r="F23" t="s">
        <v>4846</v>
      </c>
      <c r="G23" s="1033">
        <f>$X$12/1000000</f>
        <v>2.311909412674486E-4</v>
      </c>
      <c r="H23" s="52" t="s">
        <v>4862</v>
      </c>
      <c r="I23" s="377">
        <v>1</v>
      </c>
      <c r="J23" s="377">
        <v>1</v>
      </c>
      <c r="K23" s="377">
        <v>1</v>
      </c>
      <c r="L23" s="377">
        <v>3</v>
      </c>
      <c r="M23" s="377">
        <v>1</v>
      </c>
      <c r="N23" s="1043"/>
      <c r="P23" s="1043"/>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2126</v>
      </c>
      <c r="E24">
        <v>2024</v>
      </c>
      <c r="F24" t="s">
        <v>4844</v>
      </c>
      <c r="G24" s="1033">
        <f>$Y$9/1000000</f>
        <v>7.5169911336115955</v>
      </c>
      <c r="H24" s="52" t="s">
        <v>4862</v>
      </c>
      <c r="I24" s="377">
        <v>1</v>
      </c>
      <c r="J24" s="377">
        <v>1</v>
      </c>
      <c r="K24" s="377">
        <v>1</v>
      </c>
      <c r="L24" s="377">
        <v>3</v>
      </c>
      <c r="M24" s="377">
        <v>1</v>
      </c>
      <c r="N24" s="1043"/>
      <c r="P24" s="1043"/>
      <c r="Q24" s="54" t="s">
        <v>4831</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2126</v>
      </c>
      <c r="E25">
        <v>2024</v>
      </c>
      <c r="F25" t="s">
        <v>4845</v>
      </c>
      <c r="G25" s="1033">
        <f>$Y$11/1000000</f>
        <v>2.5193979674444325E-2</v>
      </c>
      <c r="H25" s="52" t="s">
        <v>4862</v>
      </c>
      <c r="I25" s="377">
        <v>1</v>
      </c>
      <c r="J25" s="377">
        <v>1</v>
      </c>
      <c r="K25" s="377">
        <v>1</v>
      </c>
      <c r="L25" s="377">
        <v>3</v>
      </c>
      <c r="M25" s="377">
        <v>1</v>
      </c>
      <c r="N25" s="1043"/>
      <c r="P25" s="1043"/>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4847</v>
      </c>
    </row>
    <row r="26" spans="1:40" ht="15.75" thickBot="1" x14ac:dyDescent="0.3">
      <c r="A26" t="s">
        <v>1010</v>
      </c>
      <c r="B26" t="s">
        <v>2036</v>
      </c>
      <c r="C26" t="s">
        <v>95</v>
      </c>
      <c r="D26" t="s">
        <v>2126</v>
      </c>
      <c r="E26">
        <v>2024</v>
      </c>
      <c r="F26" t="s">
        <v>4846</v>
      </c>
      <c r="G26" s="1033">
        <f>$Y$12/1000000</f>
        <v>2.5553743407472909E-4</v>
      </c>
      <c r="H26" s="52" t="s">
        <v>4862</v>
      </c>
      <c r="I26" s="377">
        <v>1</v>
      </c>
      <c r="J26" s="377">
        <v>1</v>
      </c>
      <c r="K26" s="377">
        <v>1</v>
      </c>
      <c r="L26" s="377">
        <v>3</v>
      </c>
      <c r="M26" s="377">
        <v>1</v>
      </c>
      <c r="N26" s="1043"/>
      <c r="P26" s="1043"/>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4249</v>
      </c>
      <c r="AF26" s="281">
        <v>2023</v>
      </c>
      <c r="AG26" s="281">
        <v>2025</v>
      </c>
      <c r="AH26" s="281">
        <v>2030</v>
      </c>
      <c r="AI26" s="281">
        <v>2050</v>
      </c>
      <c r="AJ26" s="298" t="s">
        <v>4841</v>
      </c>
    </row>
    <row r="27" spans="1:40" ht="15.75" thickTop="1" x14ac:dyDescent="0.25">
      <c r="A27" t="s">
        <v>1011</v>
      </c>
      <c r="B27" t="s">
        <v>2035</v>
      </c>
      <c r="C27" t="s">
        <v>95</v>
      </c>
      <c r="D27" t="s">
        <v>2126</v>
      </c>
      <c r="E27">
        <v>2024</v>
      </c>
      <c r="F27" t="s">
        <v>4844</v>
      </c>
      <c r="G27" s="1033">
        <f>$Z$9/1000000</f>
        <v>9.2936840817648072</v>
      </c>
      <c r="H27" s="52" t="s">
        <v>4862</v>
      </c>
      <c r="I27" s="377">
        <v>1</v>
      </c>
      <c r="J27" s="377">
        <v>1</v>
      </c>
      <c r="K27" s="377">
        <v>1</v>
      </c>
      <c r="L27" s="377">
        <v>3</v>
      </c>
      <c r="M27" s="377">
        <v>1</v>
      </c>
      <c r="N27" s="1043"/>
      <c r="P27" s="1043"/>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2126</v>
      </c>
      <c r="E28">
        <v>2024</v>
      </c>
      <c r="F28" t="s">
        <v>4845</v>
      </c>
      <c r="G28" s="1033">
        <f>$Z$11/1000000</f>
        <v>3.4065992966551654E-2</v>
      </c>
      <c r="H28" s="52" t="s">
        <v>4862</v>
      </c>
      <c r="I28" s="377">
        <v>1</v>
      </c>
      <c r="J28" s="377">
        <v>1</v>
      </c>
      <c r="K28" s="377">
        <v>1</v>
      </c>
      <c r="L28" s="377">
        <v>3</v>
      </c>
      <c r="M28" s="377">
        <v>1</v>
      </c>
      <c r="N28" s="1043"/>
      <c r="P28" s="1043"/>
      <c r="AE28" s="17" t="s">
        <v>4423</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2126</v>
      </c>
      <c r="E29">
        <v>2024</v>
      </c>
      <c r="F29" t="s">
        <v>4846</v>
      </c>
      <c r="G29" s="1033">
        <f>$Z$12/1000000</f>
        <v>3.1071632149433641E-4</v>
      </c>
      <c r="H29" s="52" t="s">
        <v>4862</v>
      </c>
      <c r="I29" s="377">
        <v>1</v>
      </c>
      <c r="J29" s="377">
        <v>1</v>
      </c>
      <c r="K29" s="377">
        <v>1</v>
      </c>
      <c r="L29" s="377">
        <v>3</v>
      </c>
      <c r="M29" s="377">
        <v>1</v>
      </c>
      <c r="N29" s="1043"/>
      <c r="P29" s="1043"/>
      <c r="Q29" s="1015" t="s">
        <v>4850</v>
      </c>
      <c r="S29" s="126"/>
      <c r="T29" s="126"/>
      <c r="U29" s="126"/>
      <c r="V29" s="126"/>
      <c r="W29" s="1016"/>
      <c r="X29" s="1016"/>
      <c r="AE29" s="17" t="s">
        <v>4424</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2126</v>
      </c>
      <c r="E30">
        <v>2024</v>
      </c>
      <c r="F30" t="s">
        <v>4844</v>
      </c>
      <c r="G30" s="1033">
        <f>$AA$9/1000000</f>
        <v>11.522768197128958</v>
      </c>
      <c r="H30" s="52" t="s">
        <v>4862</v>
      </c>
      <c r="I30" s="377">
        <v>1</v>
      </c>
      <c r="J30" s="377">
        <v>1</v>
      </c>
      <c r="K30" s="377">
        <v>1</v>
      </c>
      <c r="L30" s="377">
        <v>3</v>
      </c>
      <c r="M30" s="377">
        <v>1</v>
      </c>
      <c r="N30" s="1043"/>
      <c r="P30" s="1043"/>
      <c r="Q30" s="1023"/>
      <c r="R30" s="1024" t="s">
        <v>4825</v>
      </c>
      <c r="S30" s="1024" t="s">
        <v>4826</v>
      </c>
      <c r="T30" s="1024" t="s">
        <v>4827</v>
      </c>
      <c r="U30" s="1024" t="s">
        <v>4828</v>
      </c>
      <c r="V30" s="1024" t="s">
        <v>4832</v>
      </c>
      <c r="W30" s="1024" t="s">
        <v>4833</v>
      </c>
      <c r="X30" s="1024" t="s">
        <v>4834</v>
      </c>
      <c r="Y30" s="1024" t="s">
        <v>4835</v>
      </c>
      <c r="Z30" s="1024" t="s">
        <v>4836</v>
      </c>
      <c r="AA30" s="1024" t="s">
        <v>4837</v>
      </c>
      <c r="AB30" s="1024" t="s">
        <v>4829</v>
      </c>
      <c r="AC30" s="1025" t="s">
        <v>4830</v>
      </c>
      <c r="AE30" s="17" t="s">
        <v>2997</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2037</v>
      </c>
      <c r="C31" t="s">
        <v>95</v>
      </c>
      <c r="D31" t="s">
        <v>2126</v>
      </c>
      <c r="E31">
        <v>2024</v>
      </c>
      <c r="F31" t="s">
        <v>4845</v>
      </c>
      <c r="G31" s="1033">
        <f>$AA$11/1000000</f>
        <v>4.5195796763295611E-2</v>
      </c>
      <c r="H31" s="52" t="s">
        <v>4862</v>
      </c>
      <c r="I31" s="377">
        <v>1</v>
      </c>
      <c r="J31" s="377">
        <v>1</v>
      </c>
      <c r="K31" s="377">
        <v>1</v>
      </c>
      <c r="L31" s="377">
        <v>3</v>
      </c>
      <c r="M31" s="377">
        <v>1</v>
      </c>
      <c r="N31" s="1043"/>
      <c r="P31" s="1043"/>
      <c r="Q31" s="54" t="s">
        <v>2348</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2126</v>
      </c>
      <c r="E32">
        <v>2024</v>
      </c>
      <c r="F32" t="s">
        <v>4846</v>
      </c>
      <c r="G32" s="1033">
        <f>$AA$12/1000000</f>
        <v>3.7918434859846603E-4</v>
      </c>
      <c r="H32" s="52" t="s">
        <v>4862</v>
      </c>
      <c r="I32" s="377">
        <v>1</v>
      </c>
      <c r="J32" s="377">
        <v>1</v>
      </c>
      <c r="K32" s="377">
        <v>1</v>
      </c>
      <c r="L32" s="377">
        <v>3</v>
      </c>
      <c r="M32" s="377">
        <v>1</v>
      </c>
      <c r="N32" s="1043"/>
      <c r="P32" s="1043"/>
      <c r="Q32" s="54" t="s">
        <v>2349</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4420</v>
      </c>
      <c r="B33" t="s">
        <v>2035</v>
      </c>
      <c r="C33" t="s">
        <v>95</v>
      </c>
      <c r="D33" t="s">
        <v>2126</v>
      </c>
      <c r="E33">
        <v>2024</v>
      </c>
      <c r="F33" t="s">
        <v>4844</v>
      </c>
      <c r="G33" s="1033">
        <f>$AB$9/1000000</f>
        <v>7.1342846206166097</v>
      </c>
      <c r="H33" s="52" t="s">
        <v>4861</v>
      </c>
      <c r="I33" s="377">
        <v>1</v>
      </c>
      <c r="J33" s="377">
        <v>1</v>
      </c>
      <c r="K33" s="377">
        <v>1</v>
      </c>
      <c r="L33" s="377">
        <v>3</v>
      </c>
      <c r="M33" s="377">
        <v>1</v>
      </c>
      <c r="N33" s="1043"/>
      <c r="P33" s="1043"/>
      <c r="Q33" s="54" t="s">
        <v>2221</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4420</v>
      </c>
      <c r="B34" t="s">
        <v>2037</v>
      </c>
      <c r="C34" t="s">
        <v>95</v>
      </c>
      <c r="D34" t="s">
        <v>2126</v>
      </c>
      <c r="E34">
        <v>2024</v>
      </c>
      <c r="F34" t="s">
        <v>4845</v>
      </c>
      <c r="G34" s="1033">
        <f>$AB$11/1000000</f>
        <v>1.7490691324783508E-2</v>
      </c>
      <c r="H34" s="52" t="s">
        <v>4861</v>
      </c>
      <c r="I34" s="377">
        <v>1</v>
      </c>
      <c r="J34" s="377">
        <v>1</v>
      </c>
      <c r="K34" s="377">
        <v>1</v>
      </c>
      <c r="L34" s="377">
        <v>3</v>
      </c>
      <c r="M34" s="377">
        <v>1</v>
      </c>
      <c r="N34" s="1043"/>
      <c r="P34" s="1043"/>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4842</v>
      </c>
      <c r="AJ34" s="85"/>
    </row>
    <row r="35" spans="1:36" x14ac:dyDescent="0.25">
      <c r="A35" t="s">
        <v>4420</v>
      </c>
      <c r="B35" t="s">
        <v>2036</v>
      </c>
      <c r="C35" t="s">
        <v>95</v>
      </c>
      <c r="D35" t="s">
        <v>2126</v>
      </c>
      <c r="E35">
        <v>2024</v>
      </c>
      <c r="F35" t="s">
        <v>4846</v>
      </c>
      <c r="G35" s="1033">
        <f>$AB$12/1000000</f>
        <v>2.8361721443063092E-4</v>
      </c>
      <c r="H35" s="52" t="s">
        <v>4861</v>
      </c>
      <c r="I35" s="377">
        <v>1</v>
      </c>
      <c r="J35" s="377">
        <v>1</v>
      </c>
      <c r="K35" s="377">
        <v>1</v>
      </c>
      <c r="L35" s="377">
        <v>3</v>
      </c>
      <c r="M35" s="377">
        <v>1</v>
      </c>
      <c r="N35" s="1043"/>
      <c r="P35" s="1043"/>
      <c r="Q35" s="54" t="s">
        <v>2350</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4423</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2035</v>
      </c>
      <c r="C36" t="s">
        <v>95</v>
      </c>
      <c r="D36" t="s">
        <v>2126</v>
      </c>
      <c r="E36">
        <v>2024</v>
      </c>
      <c r="F36" t="s">
        <v>4844</v>
      </c>
      <c r="G36" s="1033">
        <f>$R$23/1000000 * SUM($AM$7:$AM$8) + $R$37/1000000 * $AM$9</f>
        <v>7.0251812171361046</v>
      </c>
      <c r="H36" s="52" t="s">
        <v>4861</v>
      </c>
      <c r="I36" s="377">
        <v>1</v>
      </c>
      <c r="J36" s="377">
        <v>1</v>
      </c>
      <c r="K36" s="377">
        <v>1</v>
      </c>
      <c r="L36" s="377">
        <v>3</v>
      </c>
      <c r="M36" s="377">
        <v>1</v>
      </c>
      <c r="N36" s="1043"/>
      <c r="P36" s="1043"/>
      <c r="Q36" s="54" t="s">
        <v>2351</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4424</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2037</v>
      </c>
      <c r="C37" t="s">
        <v>95</v>
      </c>
      <c r="D37" t="s">
        <v>2126</v>
      </c>
      <c r="E37">
        <v>2024</v>
      </c>
      <c r="F37" t="s">
        <v>4845</v>
      </c>
      <c r="G37" s="1033">
        <f>$R$25/1000000 * SUM($AM$7:$AM$8) + $R$39/1000000 * $AM$9</f>
        <v>1.5979385925880295E-2</v>
      </c>
      <c r="H37" s="52" t="s">
        <v>4861</v>
      </c>
      <c r="I37" s="377">
        <v>1</v>
      </c>
      <c r="J37" s="377">
        <v>1</v>
      </c>
      <c r="K37" s="377">
        <v>1</v>
      </c>
      <c r="L37" s="377">
        <v>3</v>
      </c>
      <c r="M37" s="377">
        <v>1</v>
      </c>
      <c r="N37" s="1043"/>
      <c r="P37" s="1043"/>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2997</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2036</v>
      </c>
      <c r="C38" t="s">
        <v>95</v>
      </c>
      <c r="D38" t="s">
        <v>2126</v>
      </c>
      <c r="E38">
        <v>2024</v>
      </c>
      <c r="F38" t="s">
        <v>4846</v>
      </c>
      <c r="G38" s="1033">
        <f>$R$26/1000000 * SUM($AM$7:$AM$8) + $R$40/1000000 * $AM$9</f>
        <v>2.0928135372672558E-4</v>
      </c>
      <c r="H38" s="52" t="s">
        <v>4861</v>
      </c>
      <c r="I38" s="377">
        <v>1</v>
      </c>
      <c r="J38" s="377">
        <v>1</v>
      </c>
      <c r="K38" s="377">
        <v>1</v>
      </c>
      <c r="L38" s="377">
        <v>3</v>
      </c>
      <c r="M38" s="377">
        <v>1</v>
      </c>
      <c r="N38" s="1043"/>
      <c r="P38" s="1043"/>
      <c r="Q38" s="54" t="s">
        <v>4831</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2035</v>
      </c>
      <c r="C39" t="s">
        <v>95</v>
      </c>
      <c r="D39" t="s">
        <v>2126</v>
      </c>
      <c r="E39">
        <v>2024</v>
      </c>
      <c r="F39" t="s">
        <v>4844</v>
      </c>
      <c r="G39" s="1033">
        <f>$R$23/1000000 * SUM($AM$7:$AM$8) + $R$39/1000000 * $AM$9</f>
        <v>4.6466455145115146</v>
      </c>
      <c r="H39" s="52" t="s">
        <v>4861</v>
      </c>
      <c r="I39" s="377">
        <v>1</v>
      </c>
      <c r="J39" s="377">
        <v>1</v>
      </c>
      <c r="K39" s="377">
        <v>1</v>
      </c>
      <c r="L39" s="377">
        <v>3</v>
      </c>
      <c r="M39" s="377">
        <v>1</v>
      </c>
      <c r="N39" s="1043"/>
      <c r="P39" s="1043"/>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2037</v>
      </c>
      <c r="C40" t="s">
        <v>95</v>
      </c>
      <c r="D40" t="s">
        <v>2126</v>
      </c>
      <c r="E40">
        <v>2024</v>
      </c>
      <c r="F40" t="s">
        <v>4845</v>
      </c>
      <c r="G40" s="1033">
        <f>$R$25/1000000 * SUM($AM$7:$AM$8) + $R$39/1000000 * $AM$9</f>
        <v>1.5979385925880295E-2</v>
      </c>
      <c r="H40" s="52" t="s">
        <v>4861</v>
      </c>
      <c r="I40" s="377">
        <v>1</v>
      </c>
      <c r="J40" s="377">
        <v>1</v>
      </c>
      <c r="K40" s="377">
        <v>1</v>
      </c>
      <c r="L40" s="377">
        <v>3</v>
      </c>
      <c r="M40" s="377">
        <v>1</v>
      </c>
      <c r="N40" s="1043"/>
      <c r="P40" s="1043"/>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2036</v>
      </c>
      <c r="C41" t="s">
        <v>95</v>
      </c>
      <c r="D41" t="s">
        <v>2126</v>
      </c>
      <c r="E41">
        <v>2024</v>
      </c>
      <c r="F41" t="s">
        <v>4846</v>
      </c>
      <c r="G41" s="1033">
        <f>$R$26/1000000 * SUM($AM$7:$AM$8) + $R$40/1000000 * $AM$9</f>
        <v>2.0928135372672558E-4</v>
      </c>
      <c r="H41" s="52" t="s">
        <v>4861</v>
      </c>
      <c r="I41" s="377">
        <v>1</v>
      </c>
      <c r="J41" s="377">
        <v>1</v>
      </c>
      <c r="K41" s="377">
        <v>1</v>
      </c>
      <c r="L41" s="377">
        <v>3</v>
      </c>
      <c r="M41" s="377">
        <v>1</v>
      </c>
      <c r="N41" s="1043"/>
      <c r="P41" s="1043"/>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4843</v>
      </c>
    </row>
    <row r="42" spans="1:36" x14ac:dyDescent="0.25">
      <c r="A42" t="s">
        <v>1016</v>
      </c>
      <c r="B42" t="s">
        <v>2035</v>
      </c>
      <c r="C42" t="s">
        <v>95</v>
      </c>
      <c r="D42" t="s">
        <v>2126</v>
      </c>
      <c r="E42">
        <v>2024</v>
      </c>
      <c r="F42" t="s">
        <v>4844</v>
      </c>
      <c r="G42" s="1033">
        <f>$R$23/1000000 * SUM($AM$7:$AM$8) + $R$39/1000000 * $AM$9</f>
        <v>4.6466455145115146</v>
      </c>
      <c r="H42" s="52" t="s">
        <v>4861</v>
      </c>
      <c r="I42" s="377">
        <v>1</v>
      </c>
      <c r="J42" s="377">
        <v>1</v>
      </c>
      <c r="K42" s="377">
        <v>1</v>
      </c>
      <c r="L42" s="377">
        <v>3</v>
      </c>
      <c r="M42" s="377">
        <v>1</v>
      </c>
      <c r="N42" s="1043"/>
      <c r="P42" s="1043"/>
      <c r="AE42" s="17" t="s">
        <v>4423</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2037</v>
      </c>
      <c r="C43" t="s">
        <v>95</v>
      </c>
      <c r="D43" t="s">
        <v>2126</v>
      </c>
      <c r="E43">
        <v>2024</v>
      </c>
      <c r="F43" t="s">
        <v>4845</v>
      </c>
      <c r="G43" s="1033">
        <f>$R$25/1000000 * SUM($AM$7:$AM$8) + $R$39/1000000 * $AM$9</f>
        <v>1.5979385925880295E-2</v>
      </c>
      <c r="H43" s="52" t="s">
        <v>4861</v>
      </c>
      <c r="I43" s="377">
        <v>1</v>
      </c>
      <c r="J43" s="377">
        <v>1</v>
      </c>
      <c r="K43" s="377">
        <v>1</v>
      </c>
      <c r="L43" s="377">
        <v>3</v>
      </c>
      <c r="M43" s="377">
        <v>1</v>
      </c>
      <c r="N43" s="1043"/>
      <c r="P43" s="1043"/>
      <c r="Q43" s="1015" t="s">
        <v>4857</v>
      </c>
      <c r="W43" s="1015" t="s">
        <v>4858</v>
      </c>
      <c r="AE43" s="17" t="s">
        <v>4424</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2036</v>
      </c>
      <c r="C44" t="s">
        <v>95</v>
      </c>
      <c r="D44" t="s">
        <v>2126</v>
      </c>
      <c r="E44">
        <v>2024</v>
      </c>
      <c r="F44" t="s">
        <v>4846</v>
      </c>
      <c r="G44" s="1033">
        <f>$R$26/1000000 * SUM($AM$7:$AM$8) + $R$40/1000000 * $AM$9</f>
        <v>2.0928135372672558E-4</v>
      </c>
      <c r="H44" s="52" t="s">
        <v>4861</v>
      </c>
      <c r="I44" s="377">
        <v>1</v>
      </c>
      <c r="J44" s="377">
        <v>1</v>
      </c>
      <c r="K44" s="377">
        <v>1</v>
      </c>
      <c r="L44" s="377">
        <v>3</v>
      </c>
      <c r="M44" s="377">
        <v>1</v>
      </c>
      <c r="N44" s="1043"/>
      <c r="P44" s="1043"/>
      <c r="Q44" s="1026"/>
      <c r="R44" s="608" t="s">
        <v>4851</v>
      </c>
      <c r="S44" s="608" t="s">
        <v>757</v>
      </c>
      <c r="T44" s="608" t="s">
        <v>1345</v>
      </c>
      <c r="U44" s="607" t="s">
        <v>4852</v>
      </c>
      <c r="W44" s="1026"/>
      <c r="X44" s="608" t="s">
        <v>4851</v>
      </c>
      <c r="Y44" s="608" t="s">
        <v>757</v>
      </c>
      <c r="Z44" s="608" t="s">
        <v>1345</v>
      </c>
      <c r="AA44" s="607" t="s">
        <v>4852</v>
      </c>
      <c r="AE44" s="17" t="s">
        <v>2997</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2035</v>
      </c>
      <c r="C45" t="s">
        <v>95</v>
      </c>
      <c r="D45" t="s">
        <v>2126</v>
      </c>
      <c r="E45">
        <v>2024</v>
      </c>
      <c r="F45" t="s">
        <v>4844</v>
      </c>
      <c r="G45" s="1033">
        <f>$T$23/1000000 * SUM($AM$7:$AM$8) + $T$39/1000000 * $AM$9</f>
        <v>4.9091873669401425</v>
      </c>
      <c r="H45" s="52" t="s">
        <v>4861</v>
      </c>
      <c r="I45" s="377">
        <v>1</v>
      </c>
      <c r="J45" s="377">
        <v>1</v>
      </c>
      <c r="K45" s="377">
        <v>1</v>
      </c>
      <c r="L45" s="377">
        <v>3</v>
      </c>
      <c r="M45" s="377">
        <v>1</v>
      </c>
      <c r="N45" s="1043"/>
      <c r="P45" s="1043"/>
      <c r="Q45" s="1027" t="s">
        <v>2348</v>
      </c>
      <c r="R45" s="1030">
        <v>280255578.43273121</v>
      </c>
      <c r="S45" s="1019">
        <v>286262143.65627038</v>
      </c>
      <c r="T45" s="1019">
        <v>436339873.49117386</v>
      </c>
      <c r="U45" s="1020">
        <v>397025021.81420046</v>
      </c>
      <c r="W45" s="1027" t="s">
        <v>2348</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2037</v>
      </c>
      <c r="C46" t="s">
        <v>95</v>
      </c>
      <c r="D46" t="s">
        <v>2126</v>
      </c>
      <c r="E46">
        <v>2024</v>
      </c>
      <c r="F46" t="s">
        <v>4845</v>
      </c>
      <c r="G46" s="1033">
        <f>$T$25/1000000 * SUM($AM$7:$AM$8) + $T$39/1000000 * $AM$9</f>
        <v>1.6721872877480781E-2</v>
      </c>
      <c r="H46" s="52" t="s">
        <v>4861</v>
      </c>
      <c r="I46" s="377">
        <v>1</v>
      </c>
      <c r="J46" s="377">
        <v>1</v>
      </c>
      <c r="K46" s="377">
        <v>1</v>
      </c>
      <c r="L46" s="377">
        <v>3</v>
      </c>
      <c r="M46" s="377">
        <v>1</v>
      </c>
      <c r="N46" s="1043"/>
      <c r="P46" s="1043"/>
      <c r="Q46" s="1028" t="s">
        <v>2349</v>
      </c>
      <c r="R46" s="1031">
        <v>240063371.35431078</v>
      </c>
      <c r="S46" s="1017">
        <v>244938007.53571323</v>
      </c>
      <c r="T46" s="1017">
        <v>378208894.97842532</v>
      </c>
      <c r="U46" s="1018">
        <v>339231992.93421435</v>
      </c>
      <c r="W46" s="1028" t="s">
        <v>2349</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2036</v>
      </c>
      <c r="C47" t="s">
        <v>95</v>
      </c>
      <c r="D47" t="s">
        <v>2126</v>
      </c>
      <c r="E47">
        <v>2024</v>
      </c>
      <c r="F47" t="s">
        <v>4846</v>
      </c>
      <c r="G47" s="1033">
        <f>$T$26/1000000 * SUM($AM$7:$AM$8) + $T$40/1000000 * $AM$9</f>
        <v>3.1163827605693766E-4</v>
      </c>
      <c r="H47" s="52" t="s">
        <v>4861</v>
      </c>
      <c r="I47" s="377">
        <v>1</v>
      </c>
      <c r="J47" s="377">
        <v>1</v>
      </c>
      <c r="K47" s="377">
        <v>1</v>
      </c>
      <c r="L47" s="377">
        <v>3</v>
      </c>
      <c r="M47" s="377">
        <v>1</v>
      </c>
      <c r="N47" s="1043"/>
      <c r="P47" s="1043"/>
      <c r="Q47" s="1028" t="s">
        <v>2221</v>
      </c>
      <c r="R47" s="1031">
        <v>87791721.673306167</v>
      </c>
      <c r="S47" s="1017">
        <v>89750384.426900357</v>
      </c>
      <c r="T47" s="1017">
        <v>119477808.32543123</v>
      </c>
      <c r="U47" s="1018">
        <v>105848712.02969564</v>
      </c>
      <c r="W47" s="1028" t="s">
        <v>2221</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4391</v>
      </c>
      <c r="B48" t="s">
        <v>2035</v>
      </c>
      <c r="C48" t="s">
        <v>95</v>
      </c>
      <c r="D48" t="s">
        <v>2126</v>
      </c>
      <c r="E48">
        <v>2024</v>
      </c>
      <c r="F48" t="s">
        <v>4844</v>
      </c>
      <c r="G48" s="1033">
        <f>$V$23/1000000 * SUM($AM$7:$AM$8) + $V$39/1000000 * $AM$9</f>
        <v>5.2338114719349509</v>
      </c>
      <c r="H48" s="52" t="s">
        <v>4862</v>
      </c>
      <c r="I48" s="377">
        <v>1</v>
      </c>
      <c r="J48" s="377">
        <v>1</v>
      </c>
      <c r="K48" s="377">
        <v>1</v>
      </c>
      <c r="L48" s="377">
        <v>3</v>
      </c>
      <c r="M48" s="377">
        <v>1</v>
      </c>
      <c r="N48" s="1043"/>
      <c r="P48" s="1043"/>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27" x14ac:dyDescent="0.25">
      <c r="A49" t="s">
        <v>4391</v>
      </c>
      <c r="B49" t="s">
        <v>2037</v>
      </c>
      <c r="C49" t="s">
        <v>95</v>
      </c>
      <c r="D49" t="s">
        <v>2126</v>
      </c>
      <c r="E49">
        <v>2024</v>
      </c>
      <c r="F49" t="s">
        <v>4845</v>
      </c>
      <c r="G49" s="1033">
        <f>$V$25/1000000 * SUM($AM$7:$AM$8) + $V$39/1000000 * $AM$9</f>
        <v>2.0035976073401223E-2</v>
      </c>
      <c r="H49" s="52" t="s">
        <v>4862</v>
      </c>
      <c r="I49" s="377">
        <v>1</v>
      </c>
      <c r="J49" s="377">
        <v>1</v>
      </c>
      <c r="K49" s="377">
        <v>1</v>
      </c>
      <c r="L49" s="377">
        <v>3</v>
      </c>
      <c r="M49" s="377">
        <v>1</v>
      </c>
      <c r="N49" s="1043"/>
      <c r="P49" s="1043"/>
      <c r="Q49" s="1028" t="s">
        <v>2350</v>
      </c>
      <c r="R49" s="1031">
        <v>46401886.711500339</v>
      </c>
      <c r="S49" s="1017">
        <v>46220485.304061547</v>
      </c>
      <c r="T49" s="1017">
        <v>60990231.730322562</v>
      </c>
      <c r="U49" s="1018">
        <v>66217922.19350154</v>
      </c>
      <c r="W49" s="1028" t="s">
        <v>2350</v>
      </c>
      <c r="X49" s="1031">
        <v>196551823.4733451</v>
      </c>
      <c r="Y49" s="1017">
        <v>198152444.78262782</v>
      </c>
      <c r="Z49" s="1017">
        <v>317779690.87049598</v>
      </c>
      <c r="AA49" s="1018">
        <v>232011105.47581974</v>
      </c>
    </row>
    <row r="50" spans="1:27" x14ac:dyDescent="0.25">
      <c r="A50" t="s">
        <v>4391</v>
      </c>
      <c r="B50" t="s">
        <v>2036</v>
      </c>
      <c r="C50" t="s">
        <v>95</v>
      </c>
      <c r="D50" t="s">
        <v>2126</v>
      </c>
      <c r="E50">
        <v>2024</v>
      </c>
      <c r="F50" t="s">
        <v>4846</v>
      </c>
      <c r="G50" s="1033">
        <f>$V$26/1000000 * SUM($AM$7:$AM$8) + $V$40/1000000 * $AM$9</f>
        <v>2.9361008331583641E-4</v>
      </c>
      <c r="H50" s="52" t="s">
        <v>4862</v>
      </c>
      <c r="I50" s="377">
        <v>1</v>
      </c>
      <c r="J50" s="377">
        <v>1</v>
      </c>
      <c r="K50" s="377">
        <v>1</v>
      </c>
      <c r="L50" s="377">
        <v>3</v>
      </c>
      <c r="M50" s="377">
        <v>1</v>
      </c>
      <c r="N50" s="1043"/>
      <c r="P50" s="1043"/>
      <c r="Q50" s="240" t="s">
        <v>2351</v>
      </c>
      <c r="R50" s="1032">
        <v>39998.172352383692</v>
      </c>
      <c r="S50" s="1021">
        <v>41123.530761953036</v>
      </c>
      <c r="T50" s="1021">
        <v>56630.695780881877</v>
      </c>
      <c r="U50" s="1022">
        <v>50084.976171300419</v>
      </c>
      <c r="W50" s="240" t="s">
        <v>2351</v>
      </c>
      <c r="X50" s="1032">
        <v>102924.62890895199</v>
      </c>
      <c r="Y50" s="1021">
        <v>105628.6487327537</v>
      </c>
      <c r="Z50" s="1021">
        <v>214155.48040159978</v>
      </c>
      <c r="AA50" s="1022">
        <v>127469.64711464345</v>
      </c>
    </row>
    <row r="51" spans="1:27" ht="15.75" x14ac:dyDescent="0.3">
      <c r="A51" t="s">
        <v>1019</v>
      </c>
      <c r="B51" t="s">
        <v>2035</v>
      </c>
      <c r="C51" t="s">
        <v>95</v>
      </c>
      <c r="D51" t="s">
        <v>2126</v>
      </c>
      <c r="E51">
        <v>2024</v>
      </c>
      <c r="F51" t="s">
        <v>4844</v>
      </c>
      <c r="G51" s="1033">
        <f>$W$23/1000000 * SUM($AM$7:$AM$8) + $W$39/1000000 * $AM$9</f>
        <v>5.504237737903968</v>
      </c>
      <c r="H51" s="52" t="s">
        <v>4862</v>
      </c>
      <c r="I51" s="377">
        <v>1</v>
      </c>
      <c r="J51" s="377">
        <v>1</v>
      </c>
      <c r="K51" s="377">
        <v>1</v>
      </c>
      <c r="L51" s="377">
        <v>3</v>
      </c>
      <c r="M51" s="377">
        <v>1</v>
      </c>
      <c r="Q51" s="239" t="s">
        <v>4853</v>
      </c>
      <c r="R51" s="1030">
        <v>17829176.068452239</v>
      </c>
      <c r="S51" s="1019">
        <v>18221204.995183613</v>
      </c>
      <c r="T51" s="1019">
        <v>27908674.056869026</v>
      </c>
      <c r="U51" s="1020">
        <v>23371429.562847454</v>
      </c>
      <c r="W51" s="239" t="s">
        <v>4853</v>
      </c>
      <c r="X51" s="1030">
        <v>62402375.765356369</v>
      </c>
      <c r="Y51" s="1019">
        <v>63598722.996312685</v>
      </c>
      <c r="Z51" s="1019">
        <v>130568478.50973338</v>
      </c>
      <c r="AA51" s="1020">
        <v>75486270.174418673</v>
      </c>
    </row>
    <row r="52" spans="1:27" ht="15.75" x14ac:dyDescent="0.3">
      <c r="A52" t="s">
        <v>1019</v>
      </c>
      <c r="B52" t="s">
        <v>2037</v>
      </c>
      <c r="C52" t="s">
        <v>95</v>
      </c>
      <c r="D52" t="s">
        <v>2126</v>
      </c>
      <c r="E52">
        <v>2024</v>
      </c>
      <c r="F52" t="s">
        <v>4845</v>
      </c>
      <c r="G52" s="1033">
        <f>$W$25/1000000 * SUM($AM$7:$AM$8) + $W$39/1000000 * $AM$9</f>
        <v>2.2037463824649179E-2</v>
      </c>
      <c r="H52" s="52" t="s">
        <v>4862</v>
      </c>
      <c r="I52" s="377">
        <v>1</v>
      </c>
      <c r="J52" s="377">
        <v>1</v>
      </c>
      <c r="K52" s="377">
        <v>1</v>
      </c>
      <c r="L52" s="377">
        <v>3</v>
      </c>
      <c r="M52" s="377">
        <v>1</v>
      </c>
      <c r="Q52" s="54" t="s">
        <v>4854</v>
      </c>
      <c r="R52" s="1031">
        <v>18553020.514396701</v>
      </c>
      <c r="S52" s="1017">
        <v>18947021.547185056</v>
      </c>
      <c r="T52" s="1017">
        <v>28666353.296103552</v>
      </c>
      <c r="U52" s="1018">
        <v>24111041.660700254</v>
      </c>
      <c r="W52" s="54" t="s">
        <v>4854</v>
      </c>
      <c r="X52" s="1031">
        <v>63259882.669025481</v>
      </c>
      <c r="Y52" s="1017">
        <v>64461802.856216975</v>
      </c>
      <c r="Z52" s="1017">
        <v>131642712.93438151</v>
      </c>
      <c r="AA52" s="1018">
        <v>76372879.265349269</v>
      </c>
    </row>
    <row r="53" spans="1:27" ht="15.75" x14ac:dyDescent="0.3">
      <c r="A53" t="s">
        <v>1019</v>
      </c>
      <c r="B53" t="s">
        <v>2036</v>
      </c>
      <c r="C53" t="s">
        <v>95</v>
      </c>
      <c r="D53" t="s">
        <v>2126</v>
      </c>
      <c r="E53">
        <v>2024</v>
      </c>
      <c r="F53" t="s">
        <v>4846</v>
      </c>
      <c r="G53" s="1033">
        <f>$W$26/1000000 * SUM($AM$7:$AM$8) + $W$40/1000000 * $AM$9</f>
        <v>3.0696845816114652E-4</v>
      </c>
      <c r="H53" s="52" t="s">
        <v>4862</v>
      </c>
      <c r="I53" s="377">
        <v>1</v>
      </c>
      <c r="J53" s="377">
        <v>1</v>
      </c>
      <c r="K53" s="377">
        <v>1</v>
      </c>
      <c r="L53" s="377">
        <v>3</v>
      </c>
      <c r="M53" s="377">
        <v>1</v>
      </c>
      <c r="Q53" s="54" t="s">
        <v>4855</v>
      </c>
      <c r="R53" s="1031">
        <v>35495.249761499879</v>
      </c>
      <c r="S53" s="1017">
        <v>36811.171461343874</v>
      </c>
      <c r="T53" s="1017">
        <v>87074.065531514352</v>
      </c>
      <c r="U53" s="1018">
        <v>50979.457995770586</v>
      </c>
      <c r="W53" s="54" t="s">
        <v>4855</v>
      </c>
      <c r="X53" s="1031">
        <v>119684.82567552118</v>
      </c>
      <c r="Y53" s="1017">
        <v>124408.7760197117</v>
      </c>
      <c r="Z53" s="1017">
        <v>468803.42068728089</v>
      </c>
      <c r="AA53" s="1018">
        <v>162333.38035970996</v>
      </c>
    </row>
    <row r="54" spans="1:27" ht="15.75" x14ac:dyDescent="0.3">
      <c r="A54" t="s">
        <v>4396</v>
      </c>
      <c r="B54" t="s">
        <v>2035</v>
      </c>
      <c r="C54" t="s">
        <v>95</v>
      </c>
      <c r="D54" t="s">
        <v>2126</v>
      </c>
      <c r="E54">
        <v>2024</v>
      </c>
      <c r="F54" t="s">
        <v>4844</v>
      </c>
      <c r="G54" s="1033">
        <f>$X$23/1000000 * SUM($AM$7:$AM$8) + $X$39/1000000 * $AM$9</f>
        <v>5.5437272668582365</v>
      </c>
      <c r="H54" s="52" t="s">
        <v>4862</v>
      </c>
      <c r="I54" s="377">
        <v>1</v>
      </c>
      <c r="J54" s="377">
        <v>1</v>
      </c>
      <c r="K54" s="377">
        <v>1</v>
      </c>
      <c r="L54" s="377">
        <v>3</v>
      </c>
      <c r="M54" s="377">
        <v>1</v>
      </c>
      <c r="Q54" s="54" t="s">
        <v>4856</v>
      </c>
      <c r="R54" s="1031">
        <v>346.7585971537132</v>
      </c>
      <c r="S54" s="1017">
        <v>372.63206975256151</v>
      </c>
      <c r="T54" s="1017">
        <v>729.88583823402018</v>
      </c>
      <c r="U54" s="1018">
        <v>571.26859172213358</v>
      </c>
      <c r="W54" s="54" t="s">
        <v>4856</v>
      </c>
      <c r="X54" s="1031">
        <v>1249.553412815887</v>
      </c>
      <c r="Y54" s="1017">
        <v>1317.5085746478298</v>
      </c>
      <c r="Z54" s="1017">
        <v>3501.8413360291761</v>
      </c>
      <c r="AA54" s="1018">
        <v>1792.0773570683764</v>
      </c>
    </row>
    <row r="55" spans="1:27" x14ac:dyDescent="0.25">
      <c r="A55" t="s">
        <v>4396</v>
      </c>
      <c r="B55" t="s">
        <v>2037</v>
      </c>
      <c r="C55" t="s">
        <v>95</v>
      </c>
      <c r="D55" t="s">
        <v>2126</v>
      </c>
      <c r="E55">
        <v>2024</v>
      </c>
      <c r="F55" t="s">
        <v>4845</v>
      </c>
      <c r="G55" s="1033">
        <f>$X$25/1000000 * SUM($AM$7:$AM$8) + $X$39/1000000 * $AM$9</f>
        <v>2.6919280330735908E-2</v>
      </c>
      <c r="H55" s="52" t="s">
        <v>4862</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row>
    <row r="56" spans="1:27" x14ac:dyDescent="0.25">
      <c r="A56" t="s">
        <v>4396</v>
      </c>
      <c r="B56" t="s">
        <v>2036</v>
      </c>
      <c r="C56" t="s">
        <v>95</v>
      </c>
      <c r="D56" t="s">
        <v>2126</v>
      </c>
      <c r="E56">
        <v>2024</v>
      </c>
      <c r="F56" t="s">
        <v>4846</v>
      </c>
      <c r="G56" s="1033">
        <f>$X$26/1000000 * SUM($AM$7:$AM$8) + $X$40/1000000 * $AM$9</f>
        <v>2.8757371290984428E-4</v>
      </c>
      <c r="H56" s="52" t="s">
        <v>4862</v>
      </c>
      <c r="I56" s="377">
        <v>1</v>
      </c>
      <c r="J56" s="377">
        <v>1</v>
      </c>
      <c r="K56" s="377">
        <v>1</v>
      </c>
      <c r="L56" s="377">
        <v>3</v>
      </c>
      <c r="M56" s="377">
        <v>1</v>
      </c>
    </row>
    <row r="57" spans="1:27" x14ac:dyDescent="0.25">
      <c r="A57" t="s">
        <v>1020</v>
      </c>
      <c r="B57" t="s">
        <v>2035</v>
      </c>
      <c r="C57" t="s">
        <v>95</v>
      </c>
      <c r="D57" t="s">
        <v>2126</v>
      </c>
      <c r="E57">
        <v>2024</v>
      </c>
      <c r="F57" t="s">
        <v>4844</v>
      </c>
      <c r="G57" s="1033">
        <f>$Y$23/1000000 * SUM($AM$7:$AM$8) + $Y$39/1000000 * $AM$9</f>
        <v>6.1491704988078153</v>
      </c>
      <c r="H57" s="52" t="s">
        <v>4862</v>
      </c>
      <c r="I57" s="377">
        <v>1</v>
      </c>
      <c r="J57" s="377">
        <v>1</v>
      </c>
      <c r="K57" s="377">
        <v>1</v>
      </c>
      <c r="L57" s="377">
        <v>3</v>
      </c>
      <c r="M57" s="377">
        <v>1</v>
      </c>
      <c r="W57" s="1015" t="s">
        <v>4859</v>
      </c>
    </row>
    <row r="58" spans="1:27" x14ac:dyDescent="0.25">
      <c r="A58" t="s">
        <v>1020</v>
      </c>
      <c r="B58" t="s">
        <v>2037</v>
      </c>
      <c r="C58" t="s">
        <v>95</v>
      </c>
      <c r="D58" t="s">
        <v>2126</v>
      </c>
      <c r="E58">
        <v>2024</v>
      </c>
      <c r="F58" t="s">
        <v>4845</v>
      </c>
      <c r="G58" s="1033">
        <f>$Y$25/1000000 * SUM($AM$7:$AM$8) + $Y$39/1000000 * $AM$9</f>
        <v>3.1627270568296735E-2</v>
      </c>
      <c r="H58" s="52" t="s">
        <v>4862</v>
      </c>
      <c r="I58" s="377">
        <v>1</v>
      </c>
      <c r="J58" s="377">
        <v>1</v>
      </c>
      <c r="K58" s="377">
        <v>1</v>
      </c>
      <c r="L58" s="377">
        <v>3</v>
      </c>
      <c r="M58" s="377">
        <v>1</v>
      </c>
      <c r="W58" s="1026"/>
      <c r="X58" s="608" t="s">
        <v>4851</v>
      </c>
      <c r="Y58" s="608" t="s">
        <v>757</v>
      </c>
      <c r="Z58" s="608" t="s">
        <v>1345</v>
      </c>
      <c r="AA58" s="607" t="s">
        <v>4852</v>
      </c>
    </row>
    <row r="59" spans="1:27" ht="14.45" customHeight="1" x14ac:dyDescent="0.25">
      <c r="A59" t="s">
        <v>1020</v>
      </c>
      <c r="B59" t="s">
        <v>2036</v>
      </c>
      <c r="C59" t="s">
        <v>95</v>
      </c>
      <c r="D59" t="s">
        <v>2126</v>
      </c>
      <c r="E59">
        <v>2024</v>
      </c>
      <c r="F59" t="s">
        <v>4846</v>
      </c>
      <c r="G59" s="1033">
        <f>$Y$26/1000000 * SUM($AM$7:$AM$8) + $Y$40/1000000 * $AM$9</f>
        <v>3.2004849613081348E-4</v>
      </c>
      <c r="H59" s="52" t="s">
        <v>4862</v>
      </c>
      <c r="I59" s="377">
        <v>1</v>
      </c>
      <c r="J59" s="377">
        <v>1</v>
      </c>
      <c r="K59" s="377">
        <v>1</v>
      </c>
      <c r="L59" s="377">
        <v>3</v>
      </c>
      <c r="M59" s="377">
        <v>1</v>
      </c>
      <c r="W59" s="1027" t="s">
        <v>2348</v>
      </c>
      <c r="X59" s="1030">
        <v>967630881.44833565</v>
      </c>
      <c r="Y59" s="1019">
        <v>987591720.16711521</v>
      </c>
      <c r="Z59" s="1019">
        <v>3091600886.8045931</v>
      </c>
      <c r="AA59" s="1020">
        <v>1417997700.8594213</v>
      </c>
    </row>
    <row r="60" spans="1:27" x14ac:dyDescent="0.25">
      <c r="A60" t="s">
        <v>1021</v>
      </c>
      <c r="B60" t="s">
        <v>2035</v>
      </c>
      <c r="C60" t="s">
        <v>95</v>
      </c>
      <c r="D60" t="s">
        <v>2126</v>
      </c>
      <c r="E60">
        <v>2024</v>
      </c>
      <c r="F60" t="s">
        <v>4844</v>
      </c>
      <c r="G60" s="1033">
        <f>$Z$23/1000000 * SUM($AM$7:$AM$8) + $Z$39/1000000 * $AM$9</f>
        <v>7.6411787106870817</v>
      </c>
      <c r="H60" s="52" t="s">
        <v>4862</v>
      </c>
      <c r="I60" s="377">
        <v>1</v>
      </c>
      <c r="J60" s="377">
        <v>1</v>
      </c>
      <c r="K60" s="377">
        <v>1</v>
      </c>
      <c r="L60" s="377">
        <v>3</v>
      </c>
      <c r="M60" s="377">
        <v>1</v>
      </c>
      <c r="W60" s="1028" t="s">
        <v>2349</v>
      </c>
      <c r="X60" s="1031">
        <v>855186507.27576602</v>
      </c>
      <c r="Y60" s="1017">
        <v>872246400.65673447</v>
      </c>
      <c r="Z60" s="1017">
        <v>2749630432.9930978</v>
      </c>
      <c r="AA60" s="1018">
        <v>1239582987.3195775</v>
      </c>
    </row>
    <row r="61" spans="1:27" x14ac:dyDescent="0.25">
      <c r="A61" t="s">
        <v>1021</v>
      </c>
      <c r="B61" t="s">
        <v>2037</v>
      </c>
      <c r="C61" t="s">
        <v>95</v>
      </c>
      <c r="D61" t="s">
        <v>2126</v>
      </c>
      <c r="E61">
        <v>2024</v>
      </c>
      <c r="F61" t="s">
        <v>4845</v>
      </c>
      <c r="G61" s="1033">
        <f>$Z$25/1000000 * SUM($AM$7:$AM$8) + $Z$39/1000000 * $AM$9</f>
        <v>4.2690682179923473E-2</v>
      </c>
      <c r="H61" s="52" t="s">
        <v>4862</v>
      </c>
      <c r="I61" s="377">
        <v>1</v>
      </c>
      <c r="J61" s="377">
        <v>1</v>
      </c>
      <c r="K61" s="377">
        <v>1</v>
      </c>
      <c r="L61" s="377">
        <v>3</v>
      </c>
      <c r="M61" s="377">
        <v>1</v>
      </c>
      <c r="W61" s="1028" t="s">
        <v>2221</v>
      </c>
      <c r="X61" s="1031">
        <v>271559923.38617074</v>
      </c>
      <c r="Y61" s="1017">
        <v>276997034.85545456</v>
      </c>
      <c r="Z61" s="1017">
        <v>706019400.9523133</v>
      </c>
      <c r="AA61" s="1018">
        <v>340640511.38768518</v>
      </c>
    </row>
    <row r="62" spans="1:27" x14ac:dyDescent="0.25">
      <c r="A62" t="s">
        <v>1021</v>
      </c>
      <c r="B62" t="s">
        <v>2036</v>
      </c>
      <c r="C62" t="s">
        <v>95</v>
      </c>
      <c r="D62" t="s">
        <v>2126</v>
      </c>
      <c r="E62">
        <v>2024</v>
      </c>
      <c r="F62" t="s">
        <v>4846</v>
      </c>
      <c r="G62" s="1033">
        <f>$Z$26/1000000 * SUM($AM$7:$AM$8) + $Z$40/1000000 * $AM$9</f>
        <v>3.8831129858152866E-4</v>
      </c>
      <c r="H62" s="52" t="s">
        <v>4862</v>
      </c>
      <c r="I62" s="377">
        <v>1</v>
      </c>
      <c r="J62" s="377">
        <v>1</v>
      </c>
      <c r="K62" s="377">
        <v>1</v>
      </c>
      <c r="L62" s="377">
        <v>3</v>
      </c>
      <c r="M62" s="377">
        <v>1</v>
      </c>
      <c r="W62" s="1028" t="s">
        <v>250</v>
      </c>
      <c r="X62" s="1031">
        <v>384240302.6875996</v>
      </c>
      <c r="Y62" s="1017">
        <v>394055411.56722009</v>
      </c>
      <c r="Z62" s="1017">
        <v>1576920689.7167585</v>
      </c>
      <c r="AA62" s="1018">
        <v>626306560.85685468</v>
      </c>
    </row>
    <row r="63" spans="1:27" x14ac:dyDescent="0.25">
      <c r="A63" t="s">
        <v>1022</v>
      </c>
      <c r="B63" t="s">
        <v>2035</v>
      </c>
      <c r="C63" t="s">
        <v>95</v>
      </c>
      <c r="D63" t="s">
        <v>2126</v>
      </c>
      <c r="E63">
        <v>2024</v>
      </c>
      <c r="F63" t="s">
        <v>4844</v>
      </c>
      <c r="G63" s="1033">
        <f>$AA$23/1000000 * SUM($AM$7:$AM$8) + $AA$39/1000000 * $AM$9</f>
        <v>9.5028011828858823</v>
      </c>
      <c r="H63" s="52" t="s">
        <v>4862</v>
      </c>
      <c r="I63" s="377">
        <v>1</v>
      </c>
      <c r="J63" s="377">
        <v>1</v>
      </c>
      <c r="K63" s="377">
        <v>1</v>
      </c>
      <c r="L63" s="377">
        <v>3</v>
      </c>
      <c r="M63" s="377">
        <v>1</v>
      </c>
      <c r="W63" s="1028" t="s">
        <v>2350</v>
      </c>
      <c r="X63" s="1031">
        <v>199386281.20199567</v>
      </c>
      <c r="Y63" s="1017">
        <v>201193954.23405984</v>
      </c>
      <c r="Z63" s="1017">
        <v>466690342.32402581</v>
      </c>
      <c r="AA63" s="1018">
        <v>272635915.07503754</v>
      </c>
    </row>
    <row r="64" spans="1:27" x14ac:dyDescent="0.25">
      <c r="A64" t="s">
        <v>1022</v>
      </c>
      <c r="B64" t="s">
        <v>2037</v>
      </c>
      <c r="C64" t="s">
        <v>95</v>
      </c>
      <c r="D64" t="s">
        <v>2126</v>
      </c>
      <c r="E64">
        <v>2024</v>
      </c>
      <c r="F64" t="s">
        <v>4845</v>
      </c>
      <c r="G64" s="1033">
        <f>$AA$25/1000000 * SUM($AM$7:$AM$8) + $AA$39/1000000 * $AM$9</f>
        <v>5.754792503087422E-2</v>
      </c>
      <c r="H64" s="52" t="s">
        <v>4862</v>
      </c>
      <c r="I64" s="377">
        <v>1</v>
      </c>
      <c r="J64" s="377">
        <v>1</v>
      </c>
      <c r="K64" s="377">
        <v>1</v>
      </c>
      <c r="L64" s="377">
        <v>3</v>
      </c>
      <c r="M64" s="377">
        <v>1</v>
      </c>
      <c r="W64" s="240" t="s">
        <v>2351</v>
      </c>
      <c r="X64" s="1032">
        <v>106367.053017699</v>
      </c>
      <c r="Y64" s="1021">
        <v>109172.86240631828</v>
      </c>
      <c r="Z64" s="1021">
        <v>321727.37595004437</v>
      </c>
      <c r="AA64" s="1022">
        <v>141547.33388500888</v>
      </c>
    </row>
    <row r="65" spans="1:27" ht="15.75" x14ac:dyDescent="0.3">
      <c r="A65" t="s">
        <v>1022</v>
      </c>
      <c r="B65" t="s">
        <v>2036</v>
      </c>
      <c r="C65" t="s">
        <v>95</v>
      </c>
      <c r="D65" t="s">
        <v>2126</v>
      </c>
      <c r="E65">
        <v>2024</v>
      </c>
      <c r="F65" t="s">
        <v>4846</v>
      </c>
      <c r="G65" s="1033">
        <f>$AA$26/1000000 * SUM($AM$7:$AM$8) + $AA$40/1000000 * $AM$9</f>
        <v>4.8631132377670327E-4</v>
      </c>
      <c r="H65" s="52" t="s">
        <v>4862</v>
      </c>
      <c r="I65" s="377">
        <v>1</v>
      </c>
      <c r="J65" s="377">
        <v>1</v>
      </c>
      <c r="K65" s="377">
        <v>1</v>
      </c>
      <c r="L65" s="377">
        <v>3</v>
      </c>
      <c r="M65" s="377">
        <v>1</v>
      </c>
      <c r="W65" s="239" t="s">
        <v>4853</v>
      </c>
      <c r="X65" s="1030">
        <v>64433005.313018613</v>
      </c>
      <c r="Y65" s="1019">
        <v>65705378.394119635</v>
      </c>
      <c r="Z65" s="1019">
        <v>197579071.31454337</v>
      </c>
      <c r="AA65" s="1020">
        <v>85021058.489277914</v>
      </c>
    </row>
    <row r="66" spans="1:27" ht="15.75" x14ac:dyDescent="0.3">
      <c r="A66" t="s">
        <v>4421</v>
      </c>
      <c r="B66" t="s">
        <v>2035</v>
      </c>
      <c r="C66" t="s">
        <v>95</v>
      </c>
      <c r="D66" t="s">
        <v>2126</v>
      </c>
      <c r="E66">
        <v>2024</v>
      </c>
      <c r="F66" t="s">
        <v>4844</v>
      </c>
      <c r="G66" s="1033">
        <f>$AB$23/1000000 * SUM($AM$7:$AM$8) + $AB$39/1000000 * $AM$9</f>
        <v>5.750177445800718</v>
      </c>
      <c r="H66" s="52" t="s">
        <v>4861</v>
      </c>
      <c r="I66" s="377">
        <v>1</v>
      </c>
      <c r="J66" s="377">
        <v>1</v>
      </c>
      <c r="K66" s="377">
        <v>1</v>
      </c>
      <c r="L66" s="377">
        <v>3</v>
      </c>
      <c r="M66" s="377">
        <v>1</v>
      </c>
      <c r="W66" s="54" t="s">
        <v>4854</v>
      </c>
      <c r="X66" s="1031">
        <v>65134848.469018549</v>
      </c>
      <c r="Y66" s="1017">
        <v>66413166.197644979</v>
      </c>
      <c r="Z66" s="1017">
        <v>198710934.08801022</v>
      </c>
      <c r="AA66" s="1018">
        <v>85770553.018866286</v>
      </c>
    </row>
    <row r="67" spans="1:27" ht="15.75" x14ac:dyDescent="0.3">
      <c r="A67" t="s">
        <v>4421</v>
      </c>
      <c r="B67" t="s">
        <v>2037</v>
      </c>
      <c r="C67" t="s">
        <v>95</v>
      </c>
      <c r="D67" t="s">
        <v>2126</v>
      </c>
      <c r="E67">
        <v>2024</v>
      </c>
      <c r="F67" t="s">
        <v>4845</v>
      </c>
      <c r="G67" s="1033">
        <f>$AB$25/1000000 * SUM($AM$7:$AM$8) + $AB$39/1000000 * $AM$9</f>
        <v>2.1148954333147531E-2</v>
      </c>
      <c r="H67" s="52" t="s">
        <v>4861</v>
      </c>
      <c r="I67" s="377">
        <v>1</v>
      </c>
      <c r="J67" s="377">
        <v>1</v>
      </c>
      <c r="K67" s="377">
        <v>1</v>
      </c>
      <c r="L67" s="377">
        <v>3</v>
      </c>
      <c r="M67" s="377">
        <v>1</v>
      </c>
      <c r="W67" s="54" t="s">
        <v>4855</v>
      </c>
      <c r="X67" s="1031">
        <v>124163.42439712405</v>
      </c>
      <c r="Y67" s="1017">
        <v>129064.97090703627</v>
      </c>
      <c r="Z67" s="1017">
        <v>793556.96328044601</v>
      </c>
      <c r="AA67" s="1018">
        <v>186431.51995498632</v>
      </c>
    </row>
    <row r="68" spans="1:27" ht="15.75" x14ac:dyDescent="0.3">
      <c r="A68" t="s">
        <v>4421</v>
      </c>
      <c r="B68" t="s">
        <v>2036</v>
      </c>
      <c r="C68" t="s">
        <v>95</v>
      </c>
      <c r="D68" t="s">
        <v>2126</v>
      </c>
      <c r="E68">
        <v>2024</v>
      </c>
      <c r="F68" t="s">
        <v>4846</v>
      </c>
      <c r="G68" s="1033">
        <f>$AB$26/1000000 * SUM($AM$7:$AM$8) + $AB$40/1000000 * $AM$9</f>
        <v>3.2796175221271918E-4</v>
      </c>
      <c r="H68" s="52" t="s">
        <v>4861</v>
      </c>
      <c r="I68" s="377">
        <v>1</v>
      </c>
      <c r="J68" s="377">
        <v>1</v>
      </c>
      <c r="K68" s="377">
        <v>1</v>
      </c>
      <c r="L68" s="377">
        <v>3</v>
      </c>
      <c r="M68" s="377">
        <v>1</v>
      </c>
      <c r="W68" s="54" t="s">
        <v>4856</v>
      </c>
      <c r="X68" s="1031">
        <v>1298.1594921487088</v>
      </c>
      <c r="Y68" s="1017">
        <v>1367.7837999639673</v>
      </c>
      <c r="Z68" s="1017">
        <v>5546.866786607372</v>
      </c>
      <c r="AA68" s="1018">
        <v>2009.1613928672959</v>
      </c>
    </row>
    <row r="69" spans="1:27" x14ac:dyDescent="0.25">
      <c r="A69" t="s">
        <v>1033</v>
      </c>
      <c r="B69" t="s">
        <v>2035</v>
      </c>
      <c r="C69" t="s">
        <v>95</v>
      </c>
      <c r="D69" t="s">
        <v>2126</v>
      </c>
      <c r="E69">
        <v>2024</v>
      </c>
      <c r="F69" t="s">
        <v>4844</v>
      </c>
      <c r="G69" s="1033">
        <f>$R$23/1000000 * SUM($AM$7:$AM$8) + $R$37/1000000 * $AM$9</f>
        <v>7.0251812171361046</v>
      </c>
      <c r="H69" s="52" t="s">
        <v>4861</v>
      </c>
      <c r="I69" s="377">
        <v>1</v>
      </c>
      <c r="J69" s="377">
        <v>1</v>
      </c>
      <c r="K69" s="377">
        <v>1</v>
      </c>
      <c r="L69" s="377">
        <v>3</v>
      </c>
      <c r="M69" s="377">
        <v>1</v>
      </c>
      <c r="W69" s="1029" t="s">
        <v>897</v>
      </c>
      <c r="X69" s="1032">
        <v>69712844.332622215</v>
      </c>
      <c r="Y69" s="1021">
        <v>71165013.83910656</v>
      </c>
      <c r="Z69" s="1021">
        <v>224792055.84539014</v>
      </c>
      <c r="AA69" s="1022">
        <v>92459771.341821119</v>
      </c>
    </row>
    <row r="70" spans="1:27" x14ac:dyDescent="0.25">
      <c r="A70" t="s">
        <v>1033</v>
      </c>
      <c r="B70" t="s">
        <v>2037</v>
      </c>
      <c r="C70" t="s">
        <v>95</v>
      </c>
      <c r="D70" t="s">
        <v>2126</v>
      </c>
      <c r="E70">
        <v>2024</v>
      </c>
      <c r="F70" t="s">
        <v>4845</v>
      </c>
      <c r="G70" s="1033">
        <f>$R$25/1000000 * SUM($AM$7:$AM$8) + $R$39/1000000 * $AM$9</f>
        <v>1.5979385925880295E-2</v>
      </c>
      <c r="H70" s="52" t="s">
        <v>4861</v>
      </c>
      <c r="I70" s="377">
        <v>1</v>
      </c>
      <c r="J70" s="377">
        <v>1</v>
      </c>
      <c r="K70" s="377">
        <v>1</v>
      </c>
      <c r="L70" s="377">
        <v>3</v>
      </c>
      <c r="M70" s="377">
        <v>1</v>
      </c>
    </row>
    <row r="71" spans="1:27" x14ac:dyDescent="0.25">
      <c r="A71" t="s">
        <v>1033</v>
      </c>
      <c r="B71" t="s">
        <v>2036</v>
      </c>
      <c r="C71" t="s">
        <v>95</v>
      </c>
      <c r="D71" t="s">
        <v>2126</v>
      </c>
      <c r="E71">
        <v>2024</v>
      </c>
      <c r="F71" t="s">
        <v>4846</v>
      </c>
      <c r="G71" s="1033">
        <f>$R$26/1000000 * SUM($AM$7:$AM$8) + $R$40/1000000 * $AM$9</f>
        <v>2.0928135372672558E-4</v>
      </c>
      <c r="H71" s="52" t="s">
        <v>4861</v>
      </c>
      <c r="I71" s="377">
        <v>1</v>
      </c>
      <c r="J71" s="377">
        <v>1</v>
      </c>
      <c r="K71" s="377">
        <v>1</v>
      </c>
      <c r="L71" s="377">
        <v>3</v>
      </c>
      <c r="M71" s="377">
        <v>1</v>
      </c>
      <c r="Q71" s="593"/>
    </row>
    <row r="72" spans="1:27" x14ac:dyDescent="0.25">
      <c r="A72" t="s">
        <v>1034</v>
      </c>
      <c r="B72" t="s">
        <v>2035</v>
      </c>
      <c r="C72" t="s">
        <v>95</v>
      </c>
      <c r="D72" t="s">
        <v>2126</v>
      </c>
      <c r="E72">
        <v>2024</v>
      </c>
      <c r="F72" t="s">
        <v>4844</v>
      </c>
      <c r="G72" s="1033">
        <f>$R$23/1000000 * SUM($AM$7:$AM$8) + $R$39/1000000 * $AM$9</f>
        <v>4.6466455145115146</v>
      </c>
      <c r="H72" s="52" t="s">
        <v>4861</v>
      </c>
      <c r="I72" s="377">
        <v>1</v>
      </c>
      <c r="J72" s="377">
        <v>1</v>
      </c>
      <c r="K72" s="377">
        <v>1</v>
      </c>
      <c r="L72" s="377">
        <v>3</v>
      </c>
      <c r="M72" s="377">
        <v>1</v>
      </c>
      <c r="R72" s="593"/>
    </row>
    <row r="73" spans="1:27" x14ac:dyDescent="0.25">
      <c r="A73" t="s">
        <v>1034</v>
      </c>
      <c r="B73" t="s">
        <v>2037</v>
      </c>
      <c r="C73" t="s">
        <v>95</v>
      </c>
      <c r="D73" t="s">
        <v>2126</v>
      </c>
      <c r="E73">
        <v>2024</v>
      </c>
      <c r="F73" t="s">
        <v>4845</v>
      </c>
      <c r="G73" s="1033">
        <f>$R$25/1000000 * SUM($AM$7:$AM$8) + $R$39/1000000 * $AM$9</f>
        <v>1.5979385925880295E-2</v>
      </c>
      <c r="H73" s="52" t="s">
        <v>4861</v>
      </c>
      <c r="I73" s="377">
        <v>1</v>
      </c>
      <c r="J73" s="377">
        <v>1</v>
      </c>
      <c r="K73" s="377">
        <v>1</v>
      </c>
      <c r="L73" s="377">
        <v>3</v>
      </c>
      <c r="M73" s="377">
        <v>1</v>
      </c>
    </row>
    <row r="74" spans="1:27" x14ac:dyDescent="0.25">
      <c r="A74" t="s">
        <v>1034</v>
      </c>
      <c r="B74" t="s">
        <v>2036</v>
      </c>
      <c r="C74" t="s">
        <v>95</v>
      </c>
      <c r="D74" t="s">
        <v>2126</v>
      </c>
      <c r="E74">
        <v>2024</v>
      </c>
      <c r="F74" t="s">
        <v>4846</v>
      </c>
      <c r="G74" s="1033">
        <f>$R$26/1000000 * SUM($AM$7:$AM$8) + $R$40/1000000 * $AM$9</f>
        <v>2.0928135372672558E-4</v>
      </c>
      <c r="H74" s="52" t="s">
        <v>4861</v>
      </c>
      <c r="I74" s="377">
        <v>1</v>
      </c>
      <c r="J74" s="377">
        <v>1</v>
      </c>
      <c r="K74" s="377">
        <v>1</v>
      </c>
      <c r="L74" s="377">
        <v>3</v>
      </c>
      <c r="M74" s="377">
        <v>1</v>
      </c>
    </row>
    <row r="75" spans="1:27" x14ac:dyDescent="0.25">
      <c r="A75" t="s">
        <v>1035</v>
      </c>
      <c r="B75" t="s">
        <v>2035</v>
      </c>
      <c r="C75" t="s">
        <v>95</v>
      </c>
      <c r="D75" t="s">
        <v>2126</v>
      </c>
      <c r="E75">
        <v>2024</v>
      </c>
      <c r="F75" t="s">
        <v>4844</v>
      </c>
      <c r="G75" s="1033">
        <f>$R$23/1000000 * SUM($AM$7:$AM$8) + $R$39/1000000 * $AM$9</f>
        <v>4.6466455145115146</v>
      </c>
      <c r="H75" s="52" t="s">
        <v>4861</v>
      </c>
      <c r="I75" s="377">
        <v>1</v>
      </c>
      <c r="J75" s="377">
        <v>1</v>
      </c>
      <c r="K75" s="377">
        <v>1</v>
      </c>
      <c r="L75" s="377">
        <v>3</v>
      </c>
      <c r="M75" s="377">
        <v>1</v>
      </c>
      <c r="R75" s="593"/>
    </row>
    <row r="76" spans="1:27" x14ac:dyDescent="0.25">
      <c r="A76" t="s">
        <v>1035</v>
      </c>
      <c r="B76" t="s">
        <v>2037</v>
      </c>
      <c r="C76" t="s">
        <v>95</v>
      </c>
      <c r="D76" t="s">
        <v>2126</v>
      </c>
      <c r="E76">
        <v>2024</v>
      </c>
      <c r="F76" t="s">
        <v>4845</v>
      </c>
      <c r="G76" s="1033">
        <f>$R$25/1000000 * SUM($AM$7:$AM$8) + $R$39/1000000 * $AM$9</f>
        <v>1.5979385925880295E-2</v>
      </c>
      <c r="H76" s="52" t="s">
        <v>4861</v>
      </c>
      <c r="I76" s="377">
        <v>1</v>
      </c>
      <c r="J76" s="377">
        <v>1</v>
      </c>
      <c r="K76" s="377">
        <v>1</v>
      </c>
      <c r="L76" s="377">
        <v>3</v>
      </c>
      <c r="M76" s="377">
        <v>1</v>
      </c>
      <c r="R76" s="593"/>
    </row>
    <row r="77" spans="1:27" x14ac:dyDescent="0.25">
      <c r="A77" t="s">
        <v>1035</v>
      </c>
      <c r="B77" t="s">
        <v>2036</v>
      </c>
      <c r="C77" t="s">
        <v>95</v>
      </c>
      <c r="D77" t="s">
        <v>2126</v>
      </c>
      <c r="E77">
        <v>2024</v>
      </c>
      <c r="F77" t="s">
        <v>4846</v>
      </c>
      <c r="G77" s="1033">
        <f>$R$26/1000000 * SUM($AM$7:$AM$8) + $R$40/1000000 * $AM$9</f>
        <v>2.0928135372672558E-4</v>
      </c>
      <c r="H77" s="52" t="s">
        <v>4861</v>
      </c>
      <c r="I77" s="377">
        <v>1</v>
      </c>
      <c r="J77" s="377">
        <v>1</v>
      </c>
      <c r="K77" s="377">
        <v>1</v>
      </c>
      <c r="L77" s="377">
        <v>3</v>
      </c>
      <c r="M77" s="377">
        <v>1</v>
      </c>
      <c r="R77" s="593"/>
    </row>
    <row r="78" spans="1:27" x14ac:dyDescent="0.25">
      <c r="A78" t="s">
        <v>1036</v>
      </c>
      <c r="B78" t="s">
        <v>2035</v>
      </c>
      <c r="C78" t="s">
        <v>95</v>
      </c>
      <c r="D78" t="s">
        <v>2126</v>
      </c>
      <c r="E78">
        <v>2024</v>
      </c>
      <c r="F78" t="s">
        <v>4844</v>
      </c>
      <c r="G78" s="1033">
        <f>$T$23/1000000 * SUM($AM$7:$AM$8) + $T$39/1000000 * $AM$9</f>
        <v>4.9091873669401425</v>
      </c>
      <c r="H78" s="52" t="s">
        <v>4861</v>
      </c>
      <c r="I78" s="377">
        <v>1</v>
      </c>
      <c r="J78" s="377">
        <v>1</v>
      </c>
      <c r="K78" s="377">
        <v>1</v>
      </c>
      <c r="L78" s="377">
        <v>3</v>
      </c>
      <c r="M78" s="377">
        <v>1</v>
      </c>
    </row>
    <row r="79" spans="1:27" x14ac:dyDescent="0.25">
      <c r="A79" t="s">
        <v>1036</v>
      </c>
      <c r="B79" t="s">
        <v>2037</v>
      </c>
      <c r="C79" t="s">
        <v>95</v>
      </c>
      <c r="D79" t="s">
        <v>2126</v>
      </c>
      <c r="E79">
        <v>2024</v>
      </c>
      <c r="F79" t="s">
        <v>4845</v>
      </c>
      <c r="G79" s="1033">
        <f>$T$25/1000000 * SUM($AM$7:$AM$8) + $T$39/1000000 * $AM$9</f>
        <v>1.6721872877480781E-2</v>
      </c>
      <c r="H79" s="52" t="s">
        <v>4861</v>
      </c>
      <c r="I79" s="377">
        <v>1</v>
      </c>
      <c r="J79" s="377">
        <v>1</v>
      </c>
      <c r="K79" s="377">
        <v>1</v>
      </c>
      <c r="L79" s="377">
        <v>3</v>
      </c>
      <c r="M79" s="377">
        <v>1</v>
      </c>
    </row>
    <row r="80" spans="1:27" x14ac:dyDescent="0.25">
      <c r="A80" t="s">
        <v>1036</v>
      </c>
      <c r="B80" t="s">
        <v>2036</v>
      </c>
      <c r="C80" t="s">
        <v>95</v>
      </c>
      <c r="D80" t="s">
        <v>2126</v>
      </c>
      <c r="E80">
        <v>2024</v>
      </c>
      <c r="F80" t="s">
        <v>4846</v>
      </c>
      <c r="G80" s="1033">
        <f>$T$26/1000000 * SUM($AM$7:$AM$8) + $T$40/1000000 * $AM$9</f>
        <v>3.1163827605693766E-4</v>
      </c>
      <c r="H80" s="52" t="s">
        <v>4861</v>
      </c>
      <c r="I80" s="377">
        <v>1</v>
      </c>
      <c r="J80" s="377">
        <v>1</v>
      </c>
      <c r="K80" s="377">
        <v>1</v>
      </c>
      <c r="L80" s="377">
        <v>3</v>
      </c>
      <c r="M80" s="377">
        <v>1</v>
      </c>
    </row>
    <row r="81" spans="1:18" x14ac:dyDescent="0.25">
      <c r="A81" t="s">
        <v>4392</v>
      </c>
      <c r="B81" t="s">
        <v>2035</v>
      </c>
      <c r="C81" t="s">
        <v>95</v>
      </c>
      <c r="D81" t="s">
        <v>2126</v>
      </c>
      <c r="E81">
        <v>2024</v>
      </c>
      <c r="F81" t="s">
        <v>4844</v>
      </c>
      <c r="G81" s="1033">
        <f>$V$23/1000000 * SUM($AM$7:$AM$8) + $V$39/1000000 * $AM$9</f>
        <v>5.2338114719349509</v>
      </c>
      <c r="H81" s="52" t="s">
        <v>4862</v>
      </c>
      <c r="I81" s="377">
        <v>1</v>
      </c>
      <c r="J81" s="377">
        <v>1</v>
      </c>
      <c r="K81" s="377">
        <v>1</v>
      </c>
      <c r="L81" s="377">
        <v>3</v>
      </c>
      <c r="M81" s="377">
        <v>1</v>
      </c>
    </row>
    <row r="82" spans="1:18" x14ac:dyDescent="0.25">
      <c r="A82" t="s">
        <v>4392</v>
      </c>
      <c r="B82" t="s">
        <v>2037</v>
      </c>
      <c r="C82" t="s">
        <v>95</v>
      </c>
      <c r="D82" t="s">
        <v>2126</v>
      </c>
      <c r="E82">
        <v>2024</v>
      </c>
      <c r="F82" t="s">
        <v>4845</v>
      </c>
      <c r="G82" s="1033">
        <f>$V$25/1000000 * SUM($AM$7:$AM$8) + $V$39/1000000 * $AM$9</f>
        <v>2.0035976073401223E-2</v>
      </c>
      <c r="H82" s="52" t="s">
        <v>4862</v>
      </c>
      <c r="I82" s="377">
        <v>1</v>
      </c>
      <c r="J82" s="377">
        <v>1</v>
      </c>
      <c r="K82" s="377">
        <v>1</v>
      </c>
      <c r="L82" s="377">
        <v>3</v>
      </c>
      <c r="M82" s="377">
        <v>1</v>
      </c>
    </row>
    <row r="83" spans="1:18" x14ac:dyDescent="0.25">
      <c r="A83" t="s">
        <v>4392</v>
      </c>
      <c r="B83" t="s">
        <v>2036</v>
      </c>
      <c r="C83" t="s">
        <v>95</v>
      </c>
      <c r="D83" t="s">
        <v>2126</v>
      </c>
      <c r="E83">
        <v>2024</v>
      </c>
      <c r="F83" t="s">
        <v>4846</v>
      </c>
      <c r="G83" s="1033">
        <f>$V$26/1000000 * SUM($AM$7:$AM$8) + $V$40/1000000 * $AM$9</f>
        <v>2.9361008331583641E-4</v>
      </c>
      <c r="H83" s="52" t="s">
        <v>4862</v>
      </c>
      <c r="I83" s="377">
        <v>1</v>
      </c>
      <c r="J83" s="377">
        <v>1</v>
      </c>
      <c r="K83" s="377">
        <v>1</v>
      </c>
      <c r="L83" s="377">
        <v>3</v>
      </c>
      <c r="M83" s="377">
        <v>1</v>
      </c>
    </row>
    <row r="84" spans="1:18" x14ac:dyDescent="0.25">
      <c r="A84" t="s">
        <v>1037</v>
      </c>
      <c r="B84" t="s">
        <v>2035</v>
      </c>
      <c r="C84" t="s">
        <v>95</v>
      </c>
      <c r="D84" t="s">
        <v>2126</v>
      </c>
      <c r="E84">
        <v>2024</v>
      </c>
      <c r="F84" t="s">
        <v>4844</v>
      </c>
      <c r="G84" s="1033">
        <f>$W$23/1000000 * SUM($AM$7:$AM$8) + $W$39/1000000 * $AM$9</f>
        <v>5.504237737903968</v>
      </c>
      <c r="H84" s="52" t="s">
        <v>4862</v>
      </c>
      <c r="I84" s="377">
        <v>1</v>
      </c>
      <c r="J84" s="377">
        <v>1</v>
      </c>
      <c r="K84" s="377">
        <v>1</v>
      </c>
      <c r="L84" s="377">
        <v>3</v>
      </c>
      <c r="M84" s="377">
        <v>1</v>
      </c>
      <c r="R84" s="593"/>
    </row>
    <row r="85" spans="1:18" x14ac:dyDescent="0.25">
      <c r="A85" t="s">
        <v>1037</v>
      </c>
      <c r="B85" t="s">
        <v>2037</v>
      </c>
      <c r="C85" t="s">
        <v>95</v>
      </c>
      <c r="D85" t="s">
        <v>2126</v>
      </c>
      <c r="E85">
        <v>2024</v>
      </c>
      <c r="F85" t="s">
        <v>4845</v>
      </c>
      <c r="G85" s="1033">
        <f>$W$25/1000000 * SUM($AM$7:$AM$8) + $W$39/1000000 * $AM$9</f>
        <v>2.2037463824649179E-2</v>
      </c>
      <c r="H85" s="52" t="s">
        <v>4862</v>
      </c>
      <c r="I85" s="377">
        <v>1</v>
      </c>
      <c r="J85" s="377">
        <v>1</v>
      </c>
      <c r="K85" s="377">
        <v>1</v>
      </c>
      <c r="L85" s="377">
        <v>3</v>
      </c>
      <c r="M85" s="377">
        <v>1</v>
      </c>
    </row>
    <row r="86" spans="1:18" x14ac:dyDescent="0.25">
      <c r="A86" t="s">
        <v>1037</v>
      </c>
      <c r="B86" t="s">
        <v>2036</v>
      </c>
      <c r="C86" t="s">
        <v>95</v>
      </c>
      <c r="D86" t="s">
        <v>2126</v>
      </c>
      <c r="E86">
        <v>2024</v>
      </c>
      <c r="F86" t="s">
        <v>4846</v>
      </c>
      <c r="G86" s="1033">
        <f>$W$26/1000000 * SUM($AM$7:$AM$8) + $W$40/1000000 * $AM$9</f>
        <v>3.0696845816114652E-4</v>
      </c>
      <c r="H86" s="52" t="s">
        <v>4862</v>
      </c>
      <c r="I86" s="377">
        <v>1</v>
      </c>
      <c r="J86" s="377">
        <v>1</v>
      </c>
      <c r="K86" s="377">
        <v>1</v>
      </c>
      <c r="L86" s="377">
        <v>3</v>
      </c>
      <c r="M86" s="377">
        <v>1</v>
      </c>
    </row>
    <row r="87" spans="1:18" x14ac:dyDescent="0.25">
      <c r="A87" t="s">
        <v>4397</v>
      </c>
      <c r="B87" t="s">
        <v>2035</v>
      </c>
      <c r="C87" t="s">
        <v>95</v>
      </c>
      <c r="D87" t="s">
        <v>2126</v>
      </c>
      <c r="E87">
        <v>2024</v>
      </c>
      <c r="F87" t="s">
        <v>4844</v>
      </c>
      <c r="G87" s="1033">
        <f>$X$23/1000000 * SUM($AM$7:$AM$8) + $X$39/1000000 * $AM$9</f>
        <v>5.5437272668582365</v>
      </c>
      <c r="H87" s="52" t="s">
        <v>4862</v>
      </c>
      <c r="I87" s="377">
        <v>1</v>
      </c>
      <c r="J87" s="377">
        <v>1</v>
      </c>
      <c r="K87" s="377">
        <v>1</v>
      </c>
      <c r="L87" s="377">
        <v>3</v>
      </c>
      <c r="M87" s="377">
        <v>1</v>
      </c>
    </row>
    <row r="88" spans="1:18" x14ac:dyDescent="0.25">
      <c r="A88" t="s">
        <v>4397</v>
      </c>
      <c r="B88" t="s">
        <v>2037</v>
      </c>
      <c r="C88" t="s">
        <v>95</v>
      </c>
      <c r="D88" t="s">
        <v>2126</v>
      </c>
      <c r="E88">
        <v>2024</v>
      </c>
      <c r="F88" t="s">
        <v>4845</v>
      </c>
      <c r="G88" s="1033">
        <f>$X$25/1000000 * SUM($AM$7:$AM$8) + $X$39/1000000 * $AM$9</f>
        <v>2.6919280330735908E-2</v>
      </c>
      <c r="H88" s="52" t="s">
        <v>4862</v>
      </c>
      <c r="I88" s="377">
        <v>1</v>
      </c>
      <c r="J88" s="377">
        <v>1</v>
      </c>
      <c r="K88" s="377">
        <v>1</v>
      </c>
      <c r="L88" s="377">
        <v>3</v>
      </c>
      <c r="M88" s="377">
        <v>1</v>
      </c>
    </row>
    <row r="89" spans="1:18" x14ac:dyDescent="0.25">
      <c r="A89" t="s">
        <v>4397</v>
      </c>
      <c r="B89" t="s">
        <v>2036</v>
      </c>
      <c r="C89" t="s">
        <v>95</v>
      </c>
      <c r="D89" t="s">
        <v>2126</v>
      </c>
      <c r="E89">
        <v>2024</v>
      </c>
      <c r="F89" t="s">
        <v>4846</v>
      </c>
      <c r="G89" s="1033">
        <f>$X$26/1000000 * SUM($AM$7:$AM$8) + $X$40/1000000 * $AM$9</f>
        <v>2.8757371290984428E-4</v>
      </c>
      <c r="H89" s="52" t="s">
        <v>4862</v>
      </c>
      <c r="I89" s="377">
        <v>1</v>
      </c>
      <c r="J89" s="377">
        <v>1</v>
      </c>
      <c r="K89" s="377">
        <v>1</v>
      </c>
      <c r="L89" s="377">
        <v>3</v>
      </c>
      <c r="M89" s="377">
        <v>1</v>
      </c>
    </row>
    <row r="90" spans="1:18" x14ac:dyDescent="0.25">
      <c r="A90" t="s">
        <v>1038</v>
      </c>
      <c r="B90" t="s">
        <v>2035</v>
      </c>
      <c r="C90" t="s">
        <v>95</v>
      </c>
      <c r="D90" t="s">
        <v>2126</v>
      </c>
      <c r="E90">
        <v>2024</v>
      </c>
      <c r="F90" t="s">
        <v>4844</v>
      </c>
      <c r="G90" s="1033">
        <f>$Y$23/1000000 * SUM($AM$7:$AM$8) + $Y$39/1000000 * $AM$9</f>
        <v>6.1491704988078153</v>
      </c>
      <c r="H90" s="52" t="s">
        <v>4862</v>
      </c>
      <c r="I90" s="377">
        <v>1</v>
      </c>
      <c r="J90" s="377">
        <v>1</v>
      </c>
      <c r="K90" s="377">
        <v>1</v>
      </c>
      <c r="L90" s="377">
        <v>3</v>
      </c>
      <c r="M90" s="377">
        <v>1</v>
      </c>
      <c r="Q90" s="593"/>
    </row>
    <row r="91" spans="1:18" x14ac:dyDescent="0.25">
      <c r="A91" t="s">
        <v>1038</v>
      </c>
      <c r="B91" t="s">
        <v>2037</v>
      </c>
      <c r="C91" t="s">
        <v>95</v>
      </c>
      <c r="D91" t="s">
        <v>2126</v>
      </c>
      <c r="E91">
        <v>2024</v>
      </c>
      <c r="F91" t="s">
        <v>4845</v>
      </c>
      <c r="G91" s="1033">
        <f>$Y$25/1000000 * SUM($AM$7:$AM$8) + $Y$39/1000000 * $AM$9</f>
        <v>3.1627270568296735E-2</v>
      </c>
      <c r="H91" s="52" t="s">
        <v>4862</v>
      </c>
      <c r="I91" s="377">
        <v>1</v>
      </c>
      <c r="J91" s="377">
        <v>1</v>
      </c>
      <c r="K91" s="377">
        <v>1</v>
      </c>
      <c r="L91" s="377">
        <v>3</v>
      </c>
      <c r="M91" s="377">
        <v>1</v>
      </c>
    </row>
    <row r="92" spans="1:18" x14ac:dyDescent="0.25">
      <c r="A92" t="s">
        <v>1038</v>
      </c>
      <c r="B92" t="s">
        <v>2036</v>
      </c>
      <c r="C92" t="s">
        <v>95</v>
      </c>
      <c r="D92" t="s">
        <v>2126</v>
      </c>
      <c r="E92">
        <v>2024</v>
      </c>
      <c r="F92" t="s">
        <v>4846</v>
      </c>
      <c r="G92" s="1033">
        <f>$Y$26/1000000 * SUM($AM$7:$AM$8) + $Y$40/1000000 * $AM$9</f>
        <v>3.2004849613081348E-4</v>
      </c>
      <c r="H92" s="52" t="s">
        <v>4862</v>
      </c>
      <c r="I92" s="377">
        <v>1</v>
      </c>
      <c r="J92" s="377">
        <v>1</v>
      </c>
      <c r="K92" s="377">
        <v>1</v>
      </c>
      <c r="L92" s="377">
        <v>3</v>
      </c>
      <c r="M92" s="377">
        <v>1</v>
      </c>
    </row>
    <row r="93" spans="1:18" x14ac:dyDescent="0.25">
      <c r="A93" t="s">
        <v>1039</v>
      </c>
      <c r="B93" t="s">
        <v>2035</v>
      </c>
      <c r="C93" t="s">
        <v>95</v>
      </c>
      <c r="D93" t="s">
        <v>2126</v>
      </c>
      <c r="E93">
        <v>2024</v>
      </c>
      <c r="F93" t="s">
        <v>4844</v>
      </c>
      <c r="G93" s="1033">
        <f>$Z$23/1000000 * SUM($AM$7:$AM$8) + $Z$39/1000000 * $AM$9</f>
        <v>7.6411787106870817</v>
      </c>
      <c r="H93" s="52" t="s">
        <v>4862</v>
      </c>
      <c r="I93" s="377">
        <v>1</v>
      </c>
      <c r="J93" s="377">
        <v>1</v>
      </c>
      <c r="K93" s="377">
        <v>1</v>
      </c>
      <c r="L93" s="377">
        <v>3</v>
      </c>
      <c r="M93" s="377">
        <v>1</v>
      </c>
    </row>
    <row r="94" spans="1:18" x14ac:dyDescent="0.25">
      <c r="A94" t="s">
        <v>1039</v>
      </c>
      <c r="B94" t="s">
        <v>2037</v>
      </c>
      <c r="C94" t="s">
        <v>95</v>
      </c>
      <c r="D94" t="s">
        <v>2126</v>
      </c>
      <c r="E94">
        <v>2024</v>
      </c>
      <c r="F94" t="s">
        <v>4845</v>
      </c>
      <c r="G94" s="1033">
        <f>$Z$25/1000000 * SUM($AM$7:$AM$8) + $Z$39/1000000 * $AM$9</f>
        <v>4.2690682179923473E-2</v>
      </c>
      <c r="H94" s="52" t="s">
        <v>4862</v>
      </c>
      <c r="I94" s="377">
        <v>1</v>
      </c>
      <c r="J94" s="377">
        <v>1</v>
      </c>
      <c r="K94" s="377">
        <v>1</v>
      </c>
      <c r="L94" s="377">
        <v>3</v>
      </c>
      <c r="M94" s="377">
        <v>1</v>
      </c>
    </row>
    <row r="95" spans="1:18" x14ac:dyDescent="0.25">
      <c r="A95" t="s">
        <v>1039</v>
      </c>
      <c r="B95" t="s">
        <v>2036</v>
      </c>
      <c r="C95" t="s">
        <v>95</v>
      </c>
      <c r="D95" t="s">
        <v>2126</v>
      </c>
      <c r="E95">
        <v>2024</v>
      </c>
      <c r="F95" t="s">
        <v>4846</v>
      </c>
      <c r="G95" s="1033">
        <f>$Z$26/1000000 * SUM($AM$7:$AM$8) + $Z$40/1000000 * $AM$9</f>
        <v>3.8831129858152866E-4</v>
      </c>
      <c r="H95" s="52" t="s">
        <v>4862</v>
      </c>
      <c r="I95" s="377">
        <v>1</v>
      </c>
      <c r="J95" s="377">
        <v>1</v>
      </c>
      <c r="K95" s="377">
        <v>1</v>
      </c>
      <c r="L95" s="377">
        <v>3</v>
      </c>
      <c r="M95" s="377">
        <v>1</v>
      </c>
    </row>
    <row r="96" spans="1:18" x14ac:dyDescent="0.25">
      <c r="A96" t="s">
        <v>1040</v>
      </c>
      <c r="B96" t="s">
        <v>2035</v>
      </c>
      <c r="C96" t="s">
        <v>95</v>
      </c>
      <c r="D96" t="s">
        <v>2126</v>
      </c>
      <c r="E96">
        <v>2024</v>
      </c>
      <c r="F96" t="s">
        <v>4844</v>
      </c>
      <c r="G96" s="1033">
        <f>$AA$23/1000000 * SUM($AM$7:$AM$8) + $AA$39/1000000 * $AM$9</f>
        <v>9.5028011828858823</v>
      </c>
      <c r="H96" s="52" t="s">
        <v>4862</v>
      </c>
      <c r="I96" s="377">
        <v>1</v>
      </c>
      <c r="J96" s="377">
        <v>1</v>
      </c>
      <c r="K96" s="377">
        <v>1</v>
      </c>
      <c r="L96" s="377">
        <v>3</v>
      </c>
      <c r="M96" s="377">
        <v>1</v>
      </c>
    </row>
    <row r="97" spans="1:13" x14ac:dyDescent="0.25">
      <c r="A97" t="s">
        <v>1040</v>
      </c>
      <c r="B97" t="s">
        <v>2037</v>
      </c>
      <c r="C97" t="s">
        <v>95</v>
      </c>
      <c r="D97" t="s">
        <v>2126</v>
      </c>
      <c r="E97">
        <v>2024</v>
      </c>
      <c r="F97" t="s">
        <v>4845</v>
      </c>
      <c r="G97" s="1033">
        <f>$AA$25/1000000 * SUM($AM$7:$AM$8) + $AA$39/1000000 * $AM$9</f>
        <v>5.754792503087422E-2</v>
      </c>
      <c r="H97" s="52" t="s">
        <v>4862</v>
      </c>
      <c r="I97" s="377">
        <v>1</v>
      </c>
      <c r="J97" s="377">
        <v>1</v>
      </c>
      <c r="K97" s="377">
        <v>1</v>
      </c>
      <c r="L97" s="377">
        <v>3</v>
      </c>
      <c r="M97" s="377">
        <v>1</v>
      </c>
    </row>
    <row r="98" spans="1:13" x14ac:dyDescent="0.25">
      <c r="A98" t="s">
        <v>1040</v>
      </c>
      <c r="B98" t="s">
        <v>2036</v>
      </c>
      <c r="C98" t="s">
        <v>95</v>
      </c>
      <c r="D98" t="s">
        <v>2126</v>
      </c>
      <c r="E98">
        <v>2024</v>
      </c>
      <c r="F98" t="s">
        <v>4846</v>
      </c>
      <c r="G98" s="1033">
        <f>$AA$26/1000000 * SUM($AM$7:$AM$8) + $AA$40/1000000 * $AM$9</f>
        <v>4.8631132377670327E-4</v>
      </c>
      <c r="H98" s="52" t="s">
        <v>4862</v>
      </c>
      <c r="I98" s="377">
        <v>1</v>
      </c>
      <c r="J98" s="377">
        <v>1</v>
      </c>
      <c r="K98" s="377">
        <v>1</v>
      </c>
      <c r="L98" s="377">
        <v>3</v>
      </c>
      <c r="M98" s="377">
        <v>1</v>
      </c>
    </row>
    <row r="99" spans="1:13" x14ac:dyDescent="0.25">
      <c r="A99" t="s">
        <v>4422</v>
      </c>
      <c r="B99" t="s">
        <v>2035</v>
      </c>
      <c r="C99" t="s">
        <v>95</v>
      </c>
      <c r="D99" t="s">
        <v>2126</v>
      </c>
      <c r="E99">
        <v>2024</v>
      </c>
      <c r="F99" t="s">
        <v>4844</v>
      </c>
      <c r="G99" s="1033">
        <f>$AB$23/1000000 * SUM($AM$7:$AM$8) + $AB$39/1000000 * $AM$9</f>
        <v>5.750177445800718</v>
      </c>
      <c r="H99" s="52" t="s">
        <v>4861</v>
      </c>
      <c r="I99" s="377">
        <v>1</v>
      </c>
      <c r="J99" s="377">
        <v>1</v>
      </c>
      <c r="K99" s="377">
        <v>1</v>
      </c>
      <c r="L99" s="377">
        <v>3</v>
      </c>
      <c r="M99" s="377">
        <v>1</v>
      </c>
    </row>
    <row r="100" spans="1:13" x14ac:dyDescent="0.25">
      <c r="A100" t="s">
        <v>4422</v>
      </c>
      <c r="B100" t="s">
        <v>2037</v>
      </c>
      <c r="C100" t="s">
        <v>95</v>
      </c>
      <c r="D100" t="s">
        <v>2126</v>
      </c>
      <c r="E100">
        <v>2024</v>
      </c>
      <c r="F100" t="s">
        <v>4845</v>
      </c>
      <c r="G100" s="1033">
        <f>$AB$25/1000000 * SUM($AM$7:$AM$8) + $AB$39/1000000 * $AM$9</f>
        <v>2.1148954333147531E-2</v>
      </c>
      <c r="H100" s="52" t="s">
        <v>4861</v>
      </c>
      <c r="I100" s="377">
        <v>1</v>
      </c>
      <c r="J100" s="377">
        <v>1</v>
      </c>
      <c r="K100" s="377">
        <v>1</v>
      </c>
      <c r="L100" s="377">
        <v>3</v>
      </c>
      <c r="M100" s="377">
        <v>1</v>
      </c>
    </row>
    <row r="101" spans="1:13" x14ac:dyDescent="0.25">
      <c r="A101" t="s">
        <v>4422</v>
      </c>
      <c r="B101" t="s">
        <v>2036</v>
      </c>
      <c r="C101" t="s">
        <v>95</v>
      </c>
      <c r="D101" t="s">
        <v>2126</v>
      </c>
      <c r="E101">
        <v>2024</v>
      </c>
      <c r="F101" t="s">
        <v>4846</v>
      </c>
      <c r="G101" s="1033">
        <f>$AB$26/1000000 * SUM($AM$7:$AM$8) + $AB$40/1000000 * $AM$9</f>
        <v>3.2796175221271918E-4</v>
      </c>
      <c r="H101" s="52" t="s">
        <v>4861</v>
      </c>
      <c r="I101" s="377">
        <v>1</v>
      </c>
      <c r="J101" s="377">
        <v>1</v>
      </c>
      <c r="K101" s="377">
        <v>1</v>
      </c>
      <c r="L101" s="377">
        <v>3</v>
      </c>
      <c r="M101" s="377">
        <v>1</v>
      </c>
    </row>
    <row r="102" spans="1:13" x14ac:dyDescent="0.25">
      <c r="A102" t="s">
        <v>1024</v>
      </c>
      <c r="B102" t="s">
        <v>2035</v>
      </c>
      <c r="C102" t="s">
        <v>95</v>
      </c>
      <c r="D102" t="s">
        <v>2126</v>
      </c>
      <c r="E102">
        <v>2024</v>
      </c>
      <c r="F102" t="s">
        <v>4844</v>
      </c>
      <c r="G102" s="1014">
        <f>$R$51/1000000</f>
        <v>17.829176068452238</v>
      </c>
      <c r="H102" s="52" t="s">
        <v>4861</v>
      </c>
      <c r="I102" s="377">
        <v>1</v>
      </c>
      <c r="J102" s="377">
        <v>1</v>
      </c>
      <c r="K102" s="377">
        <v>1</v>
      </c>
      <c r="L102" s="377">
        <v>3</v>
      </c>
      <c r="M102" s="377">
        <v>1</v>
      </c>
    </row>
    <row r="103" spans="1:13" x14ac:dyDescent="0.25">
      <c r="A103" t="s">
        <v>1024</v>
      </c>
      <c r="B103" t="s">
        <v>2037</v>
      </c>
      <c r="C103" t="s">
        <v>95</v>
      </c>
      <c r="D103" t="s">
        <v>2126</v>
      </c>
      <c r="E103">
        <v>2024</v>
      </c>
      <c r="F103" t="s">
        <v>4845</v>
      </c>
      <c r="G103" s="1034">
        <f>$R$53/1000000</f>
        <v>3.5495249761499877E-2</v>
      </c>
      <c r="H103" s="52" t="s">
        <v>4861</v>
      </c>
      <c r="I103" s="377">
        <v>1</v>
      </c>
      <c r="J103" s="377">
        <v>1</v>
      </c>
      <c r="K103" s="377">
        <v>1</v>
      </c>
      <c r="L103" s="377">
        <v>3</v>
      </c>
      <c r="M103" s="377">
        <v>1</v>
      </c>
    </row>
    <row r="104" spans="1:13" x14ac:dyDescent="0.25">
      <c r="A104" t="s">
        <v>1024</v>
      </c>
      <c r="B104" t="s">
        <v>2036</v>
      </c>
      <c r="C104" t="s">
        <v>95</v>
      </c>
      <c r="D104" t="s">
        <v>2126</v>
      </c>
      <c r="E104">
        <v>2024</v>
      </c>
      <c r="F104" t="s">
        <v>4846</v>
      </c>
      <c r="G104" s="1034">
        <f>$R$54/1000000</f>
        <v>3.4675859715371321E-4</v>
      </c>
      <c r="H104" s="52" t="s">
        <v>4861</v>
      </c>
      <c r="I104" s="377">
        <v>1</v>
      </c>
      <c r="J104" s="377">
        <v>1</v>
      </c>
      <c r="K104" s="377">
        <v>1</v>
      </c>
      <c r="L104" s="377">
        <v>3</v>
      </c>
      <c r="M104" s="377">
        <v>1</v>
      </c>
    </row>
    <row r="105" spans="1:13" x14ac:dyDescent="0.25">
      <c r="A105" t="s">
        <v>1041</v>
      </c>
      <c r="B105" t="s">
        <v>2035</v>
      </c>
      <c r="C105" t="s">
        <v>95</v>
      </c>
      <c r="D105" t="s">
        <v>2126</v>
      </c>
      <c r="E105">
        <v>2024</v>
      </c>
      <c r="F105" t="s">
        <v>4844</v>
      </c>
      <c r="G105" s="1014">
        <f>$R$51/1000000</f>
        <v>17.829176068452238</v>
      </c>
      <c r="H105" s="52" t="s">
        <v>4861</v>
      </c>
      <c r="I105" s="377">
        <v>1</v>
      </c>
      <c r="J105" s="377">
        <v>1</v>
      </c>
      <c r="K105" s="377">
        <v>1</v>
      </c>
      <c r="L105" s="377">
        <v>3</v>
      </c>
      <c r="M105" s="377">
        <v>1</v>
      </c>
    </row>
    <row r="106" spans="1:13" x14ac:dyDescent="0.25">
      <c r="A106" t="s">
        <v>1041</v>
      </c>
      <c r="B106" t="s">
        <v>2037</v>
      </c>
      <c r="C106" t="s">
        <v>95</v>
      </c>
      <c r="D106" t="s">
        <v>2126</v>
      </c>
      <c r="E106">
        <v>2024</v>
      </c>
      <c r="F106" t="s">
        <v>4845</v>
      </c>
      <c r="G106" s="1034">
        <f>$R$53/1000000</f>
        <v>3.5495249761499877E-2</v>
      </c>
      <c r="H106" s="52" t="s">
        <v>4861</v>
      </c>
      <c r="I106" s="377">
        <v>1</v>
      </c>
      <c r="J106" s="377">
        <v>1</v>
      </c>
      <c r="K106" s="377">
        <v>1</v>
      </c>
      <c r="L106" s="377">
        <v>3</v>
      </c>
      <c r="M106" s="377">
        <v>1</v>
      </c>
    </row>
    <row r="107" spans="1:13" x14ac:dyDescent="0.25">
      <c r="A107" t="s">
        <v>1041</v>
      </c>
      <c r="B107" t="s">
        <v>2036</v>
      </c>
      <c r="C107" t="s">
        <v>95</v>
      </c>
      <c r="D107" t="s">
        <v>2126</v>
      </c>
      <c r="E107">
        <v>2024</v>
      </c>
      <c r="F107" t="s">
        <v>4846</v>
      </c>
      <c r="G107" s="1034">
        <f>$R$54/1000000</f>
        <v>3.4675859715371321E-4</v>
      </c>
      <c r="H107" s="52" t="s">
        <v>4861</v>
      </c>
      <c r="I107" s="377">
        <v>1</v>
      </c>
      <c r="J107" s="377">
        <v>1</v>
      </c>
      <c r="K107" s="377">
        <v>1</v>
      </c>
      <c r="L107" s="377">
        <v>3</v>
      </c>
      <c r="M107" s="377">
        <v>1</v>
      </c>
    </row>
    <row r="108" spans="1:13" x14ac:dyDescent="0.25">
      <c r="A108" t="s">
        <v>1043</v>
      </c>
      <c r="B108" t="s">
        <v>2035</v>
      </c>
      <c r="C108" t="s">
        <v>95</v>
      </c>
      <c r="D108" t="s">
        <v>2126</v>
      </c>
      <c r="E108">
        <v>2024</v>
      </c>
      <c r="F108" t="s">
        <v>4844</v>
      </c>
      <c r="G108" s="1014">
        <f>$S$51/1000000</f>
        <v>18.221204995183612</v>
      </c>
      <c r="H108" s="52" t="s">
        <v>4861</v>
      </c>
      <c r="I108" s="377">
        <v>1</v>
      </c>
      <c r="J108" s="377">
        <v>1</v>
      </c>
      <c r="K108" s="377">
        <v>1</v>
      </c>
      <c r="L108" s="377">
        <v>3</v>
      </c>
      <c r="M108" s="377">
        <v>1</v>
      </c>
    </row>
    <row r="109" spans="1:13" x14ac:dyDescent="0.25">
      <c r="A109" t="s">
        <v>1043</v>
      </c>
      <c r="B109" t="s">
        <v>2037</v>
      </c>
      <c r="C109" t="s">
        <v>95</v>
      </c>
      <c r="D109" t="s">
        <v>2126</v>
      </c>
      <c r="E109">
        <v>2024</v>
      </c>
      <c r="F109" t="s">
        <v>4845</v>
      </c>
      <c r="G109" s="1034">
        <f>$S$53/1000000</f>
        <v>3.6811171461343876E-2</v>
      </c>
      <c r="H109" s="52" t="s">
        <v>4861</v>
      </c>
      <c r="I109" s="377">
        <v>1</v>
      </c>
      <c r="J109" s="377">
        <v>1</v>
      </c>
      <c r="K109" s="377">
        <v>1</v>
      </c>
      <c r="L109" s="377">
        <v>3</v>
      </c>
      <c r="M109" s="377">
        <v>1</v>
      </c>
    </row>
    <row r="110" spans="1:13" x14ac:dyDescent="0.25">
      <c r="A110" t="s">
        <v>1043</v>
      </c>
      <c r="B110" t="s">
        <v>2036</v>
      </c>
      <c r="C110" t="s">
        <v>95</v>
      </c>
      <c r="D110" t="s">
        <v>2126</v>
      </c>
      <c r="E110">
        <v>2024</v>
      </c>
      <c r="F110" t="s">
        <v>4846</v>
      </c>
      <c r="G110" s="1034">
        <f>$S$54/1000000</f>
        <v>3.7263206975256149E-4</v>
      </c>
      <c r="H110" s="52" t="s">
        <v>4861</v>
      </c>
      <c r="I110" s="377">
        <v>1</v>
      </c>
      <c r="J110" s="377">
        <v>1</v>
      </c>
      <c r="K110" s="377">
        <v>1</v>
      </c>
      <c r="L110" s="377">
        <v>3</v>
      </c>
      <c r="M110" s="377">
        <v>1</v>
      </c>
    </row>
    <row r="111" spans="1:13" x14ac:dyDescent="0.25">
      <c r="A111" t="s">
        <v>1044</v>
      </c>
      <c r="B111" t="s">
        <v>2035</v>
      </c>
      <c r="C111" t="s">
        <v>95</v>
      </c>
      <c r="D111" t="s">
        <v>2126</v>
      </c>
      <c r="E111">
        <v>2024</v>
      </c>
      <c r="F111" t="s">
        <v>4844</v>
      </c>
      <c r="G111" s="1014">
        <f>$S$51/1000000</f>
        <v>18.221204995183612</v>
      </c>
      <c r="H111" s="52" t="s">
        <v>4863</v>
      </c>
      <c r="I111" s="377">
        <v>2</v>
      </c>
      <c r="J111" s="377">
        <v>1</v>
      </c>
      <c r="K111" s="377">
        <v>1</v>
      </c>
      <c r="L111" s="377">
        <v>3</v>
      </c>
      <c r="M111" s="377">
        <v>1</v>
      </c>
    </row>
    <row r="112" spans="1:13" x14ac:dyDescent="0.25">
      <c r="A112" t="s">
        <v>1044</v>
      </c>
      <c r="B112" t="s">
        <v>2037</v>
      </c>
      <c r="C112" t="s">
        <v>95</v>
      </c>
      <c r="D112" t="s">
        <v>2126</v>
      </c>
      <c r="E112">
        <v>2024</v>
      </c>
      <c r="F112" t="s">
        <v>4845</v>
      </c>
      <c r="G112" s="1034">
        <f>$S$53/1000000</f>
        <v>3.6811171461343876E-2</v>
      </c>
      <c r="H112" s="52" t="s">
        <v>4863</v>
      </c>
      <c r="I112" s="377">
        <v>2</v>
      </c>
      <c r="J112" s="377">
        <v>1</v>
      </c>
      <c r="K112" s="377">
        <v>1</v>
      </c>
      <c r="L112" s="377">
        <v>3</v>
      </c>
      <c r="M112" s="377">
        <v>1</v>
      </c>
    </row>
    <row r="113" spans="1:13" x14ac:dyDescent="0.25">
      <c r="A113" t="s">
        <v>1044</v>
      </c>
      <c r="B113" t="s">
        <v>2036</v>
      </c>
      <c r="C113" t="s">
        <v>95</v>
      </c>
      <c r="D113" t="s">
        <v>2126</v>
      </c>
      <c r="E113">
        <v>2024</v>
      </c>
      <c r="F113" t="s">
        <v>4846</v>
      </c>
      <c r="G113" s="1034">
        <f>$S$54/1000000</f>
        <v>3.7263206975256149E-4</v>
      </c>
      <c r="H113" s="52" t="s">
        <v>4863</v>
      </c>
      <c r="I113" s="377">
        <v>2</v>
      </c>
      <c r="J113" s="377">
        <v>1</v>
      </c>
      <c r="K113" s="377">
        <v>1</v>
      </c>
      <c r="L113" s="377">
        <v>3</v>
      </c>
      <c r="M113" s="377">
        <v>1</v>
      </c>
    </row>
    <row r="114" spans="1:13" x14ac:dyDescent="0.25">
      <c r="A114" t="s">
        <v>1071</v>
      </c>
      <c r="B114" t="s">
        <v>2035</v>
      </c>
      <c r="C114" t="s">
        <v>95</v>
      </c>
      <c r="D114" t="s">
        <v>2126</v>
      </c>
      <c r="E114">
        <v>2024</v>
      </c>
      <c r="F114" t="s">
        <v>4844</v>
      </c>
      <c r="G114" s="1014">
        <f>$T$51/1000000</f>
        <v>27.908674056869025</v>
      </c>
      <c r="H114" s="52" t="s">
        <v>4862</v>
      </c>
      <c r="I114" s="377">
        <v>1</v>
      </c>
      <c r="J114" s="377">
        <v>1</v>
      </c>
      <c r="K114" s="377">
        <v>1</v>
      </c>
      <c r="L114" s="377">
        <v>3</v>
      </c>
      <c r="M114" s="377">
        <v>1</v>
      </c>
    </row>
    <row r="115" spans="1:13" x14ac:dyDescent="0.25">
      <c r="A115" t="s">
        <v>1071</v>
      </c>
      <c r="B115" t="s">
        <v>2037</v>
      </c>
      <c r="C115" t="s">
        <v>95</v>
      </c>
      <c r="D115" t="s">
        <v>2126</v>
      </c>
      <c r="E115">
        <v>2024</v>
      </c>
      <c r="F115" t="s">
        <v>4845</v>
      </c>
      <c r="G115" s="1034">
        <f>$T$53/1000000</f>
        <v>8.7074065531514352E-2</v>
      </c>
      <c r="H115" s="52" t="s">
        <v>4862</v>
      </c>
      <c r="I115" s="377">
        <v>1</v>
      </c>
      <c r="J115" s="377">
        <v>1</v>
      </c>
      <c r="K115" s="377">
        <v>1</v>
      </c>
      <c r="L115" s="377">
        <v>3</v>
      </c>
      <c r="M115" s="377">
        <v>1</v>
      </c>
    </row>
    <row r="116" spans="1:13" x14ac:dyDescent="0.25">
      <c r="A116" t="s">
        <v>1071</v>
      </c>
      <c r="B116" t="s">
        <v>2036</v>
      </c>
      <c r="C116" t="s">
        <v>95</v>
      </c>
      <c r="D116" t="s">
        <v>2126</v>
      </c>
      <c r="E116">
        <v>2024</v>
      </c>
      <c r="F116" t="s">
        <v>4846</v>
      </c>
      <c r="G116" s="1034">
        <f>$T$54/1000000</f>
        <v>7.2988583823402017E-4</v>
      </c>
      <c r="H116" s="52" t="s">
        <v>4862</v>
      </c>
      <c r="I116" s="377">
        <v>1</v>
      </c>
      <c r="J116" s="377">
        <v>1</v>
      </c>
      <c r="K116" s="377">
        <v>1</v>
      </c>
      <c r="L116" s="377">
        <v>3</v>
      </c>
      <c r="M116" s="377">
        <v>1</v>
      </c>
    </row>
    <row r="117" spans="1:13" x14ac:dyDescent="0.25">
      <c r="A117" t="s">
        <v>1072</v>
      </c>
      <c r="B117" t="s">
        <v>2035</v>
      </c>
      <c r="C117" t="s">
        <v>95</v>
      </c>
      <c r="D117" t="s">
        <v>2126</v>
      </c>
      <c r="E117">
        <v>2024</v>
      </c>
      <c r="F117" t="s">
        <v>4844</v>
      </c>
      <c r="G117" s="1014">
        <f>$U$51/1000000</f>
        <v>23.371429562847453</v>
      </c>
      <c r="H117" s="52" t="s">
        <v>4861</v>
      </c>
      <c r="I117" s="377">
        <v>1</v>
      </c>
      <c r="J117" s="377">
        <v>1</v>
      </c>
      <c r="K117" s="377">
        <v>1</v>
      </c>
      <c r="L117" s="377">
        <v>3</v>
      </c>
      <c r="M117" s="377">
        <v>1</v>
      </c>
    </row>
    <row r="118" spans="1:13" x14ac:dyDescent="0.25">
      <c r="A118" t="s">
        <v>1072</v>
      </c>
      <c r="B118" t="s">
        <v>2037</v>
      </c>
      <c r="C118" t="s">
        <v>95</v>
      </c>
      <c r="D118" t="s">
        <v>2126</v>
      </c>
      <c r="E118">
        <v>2024</v>
      </c>
      <c r="F118" t="s">
        <v>4845</v>
      </c>
      <c r="G118" s="1034">
        <f>$U$53/1000000</f>
        <v>5.097945799577059E-2</v>
      </c>
      <c r="H118" s="52" t="s">
        <v>4861</v>
      </c>
      <c r="I118" s="377">
        <v>1</v>
      </c>
      <c r="J118" s="377">
        <v>1</v>
      </c>
      <c r="K118" s="377">
        <v>1</v>
      </c>
      <c r="L118" s="377">
        <v>3</v>
      </c>
      <c r="M118" s="377">
        <v>1</v>
      </c>
    </row>
    <row r="119" spans="1:13" x14ac:dyDescent="0.25">
      <c r="A119" t="s">
        <v>1072</v>
      </c>
      <c r="B119" t="s">
        <v>2036</v>
      </c>
      <c r="C119" t="s">
        <v>95</v>
      </c>
      <c r="D119" t="s">
        <v>2126</v>
      </c>
      <c r="E119">
        <v>2024</v>
      </c>
      <c r="F119" t="s">
        <v>4846</v>
      </c>
      <c r="G119" s="1034">
        <f>$U$54/1000000</f>
        <v>5.7126859172213363E-4</v>
      </c>
      <c r="H119" s="52" t="s">
        <v>4861</v>
      </c>
      <c r="I119" s="377">
        <v>1</v>
      </c>
      <c r="J119" s="377">
        <v>1</v>
      </c>
      <c r="K119" s="377">
        <v>1</v>
      </c>
      <c r="L119" s="377">
        <v>3</v>
      </c>
      <c r="M119" s="377">
        <v>1</v>
      </c>
    </row>
    <row r="120" spans="1:13" x14ac:dyDescent="0.25">
      <c r="A120" t="s">
        <v>1073</v>
      </c>
      <c r="B120" t="s">
        <v>2035</v>
      </c>
      <c r="C120" t="s">
        <v>95</v>
      </c>
      <c r="D120" t="s">
        <v>2126</v>
      </c>
      <c r="E120">
        <v>2024</v>
      </c>
      <c r="F120" t="s">
        <v>4844</v>
      </c>
      <c r="G120" s="1014">
        <f>$U$51/1000000</f>
        <v>23.371429562847453</v>
      </c>
      <c r="H120" s="52" t="s">
        <v>4861</v>
      </c>
      <c r="I120" s="377">
        <v>1</v>
      </c>
      <c r="J120" s="377">
        <v>1</v>
      </c>
      <c r="K120" s="377">
        <v>1</v>
      </c>
      <c r="L120" s="377">
        <v>3</v>
      </c>
      <c r="M120" s="377">
        <v>1</v>
      </c>
    </row>
    <row r="121" spans="1:13" x14ac:dyDescent="0.25">
      <c r="A121" t="s">
        <v>1073</v>
      </c>
      <c r="B121" t="s">
        <v>2037</v>
      </c>
      <c r="C121" t="s">
        <v>95</v>
      </c>
      <c r="D121" t="s">
        <v>2126</v>
      </c>
      <c r="E121">
        <v>2024</v>
      </c>
      <c r="F121" t="s">
        <v>4845</v>
      </c>
      <c r="G121" s="1034">
        <f>$U$53/1000000</f>
        <v>5.097945799577059E-2</v>
      </c>
      <c r="H121" s="52" t="s">
        <v>4861</v>
      </c>
      <c r="I121" s="377">
        <v>1</v>
      </c>
      <c r="J121" s="377">
        <v>1</v>
      </c>
      <c r="K121" s="377">
        <v>1</v>
      </c>
      <c r="L121" s="377">
        <v>3</v>
      </c>
      <c r="M121" s="377">
        <v>1</v>
      </c>
    </row>
    <row r="122" spans="1:13" x14ac:dyDescent="0.25">
      <c r="A122" t="s">
        <v>1073</v>
      </c>
      <c r="B122" t="s">
        <v>2036</v>
      </c>
      <c r="C122" t="s">
        <v>95</v>
      </c>
      <c r="D122" t="s">
        <v>2126</v>
      </c>
      <c r="E122">
        <v>2024</v>
      </c>
      <c r="F122" t="s">
        <v>4846</v>
      </c>
      <c r="G122" s="1034">
        <f>$U$54/1000000</f>
        <v>5.7126859172213363E-4</v>
      </c>
      <c r="H122" s="52" t="s">
        <v>4861</v>
      </c>
      <c r="I122" s="377">
        <v>1</v>
      </c>
      <c r="J122" s="377">
        <v>1</v>
      </c>
      <c r="K122" s="377">
        <v>1</v>
      </c>
      <c r="L122" s="377">
        <v>3</v>
      </c>
      <c r="M122" s="377">
        <v>1</v>
      </c>
    </row>
    <row r="123" spans="1:13" x14ac:dyDescent="0.25">
      <c r="A123" t="s">
        <v>1074</v>
      </c>
      <c r="B123" t="s">
        <v>2035</v>
      </c>
      <c r="C123" t="s">
        <v>95</v>
      </c>
      <c r="D123" t="s">
        <v>2126</v>
      </c>
      <c r="E123">
        <v>2024</v>
      </c>
      <c r="F123" t="s">
        <v>4844</v>
      </c>
      <c r="G123" s="1014">
        <f>$X$51/1000000 * $AN$21 + $X$65/1000000 * $AN$22</f>
        <v>64.061951257165873</v>
      </c>
      <c r="H123" s="52" t="s">
        <v>4861</v>
      </c>
      <c r="I123" s="377">
        <v>1</v>
      </c>
      <c r="J123" s="377">
        <v>1</v>
      </c>
      <c r="K123" s="377">
        <v>1</v>
      </c>
      <c r="L123" s="377">
        <v>3</v>
      </c>
      <c r="M123" s="377">
        <v>1</v>
      </c>
    </row>
    <row r="124" spans="1:13" x14ac:dyDescent="0.25">
      <c r="A124" t="s">
        <v>1074</v>
      </c>
      <c r="B124" t="s">
        <v>2037</v>
      </c>
      <c r="C124" t="s">
        <v>95</v>
      </c>
      <c r="D124" t="s">
        <v>2126</v>
      </c>
      <c r="E124">
        <v>2024</v>
      </c>
      <c r="F124" t="s">
        <v>4845</v>
      </c>
      <c r="G124" s="1014">
        <f>$X$53/1000000 * $AN$21 + $X$67/1000000 * $AN$22</f>
        <v>0.1233450564076989</v>
      </c>
      <c r="H124" s="52" t="s">
        <v>4861</v>
      </c>
      <c r="I124" s="377">
        <v>1</v>
      </c>
      <c r="J124" s="377">
        <v>1</v>
      </c>
      <c r="K124" s="377">
        <v>1</v>
      </c>
      <c r="L124" s="377">
        <v>3</v>
      </c>
      <c r="M124" s="377">
        <v>1</v>
      </c>
    </row>
    <row r="125" spans="1:13" x14ac:dyDescent="0.25">
      <c r="A125" t="s">
        <v>1074</v>
      </c>
      <c r="B125" t="s">
        <v>2036</v>
      </c>
      <c r="C125" t="s">
        <v>95</v>
      </c>
      <c r="D125" t="s">
        <v>2126</v>
      </c>
      <c r="E125">
        <v>2024</v>
      </c>
      <c r="F125" t="s">
        <v>4846</v>
      </c>
      <c r="G125" s="1014">
        <f>$X$54/1000000 * $AN$21 + $X$68/1000000 * $AN$22</f>
        <v>1.2892777722425313E-3</v>
      </c>
      <c r="H125" s="52" t="s">
        <v>4861</v>
      </c>
      <c r="I125" s="377">
        <v>1</v>
      </c>
      <c r="J125" s="377">
        <v>1</v>
      </c>
      <c r="K125" s="377">
        <v>1</v>
      </c>
      <c r="L125" s="377">
        <v>3</v>
      </c>
      <c r="M125" s="377">
        <v>1</v>
      </c>
    </row>
    <row r="126" spans="1:13" x14ac:dyDescent="0.25">
      <c r="A126" t="s">
        <v>1075</v>
      </c>
      <c r="B126" t="s">
        <v>2035</v>
      </c>
      <c r="C126" t="s">
        <v>95</v>
      </c>
      <c r="D126" t="s">
        <v>2126</v>
      </c>
      <c r="E126">
        <v>2024</v>
      </c>
      <c r="F126" t="s">
        <v>4844</v>
      </c>
      <c r="G126" s="1014">
        <f>$Y$51/1000000 * $AN$21 + $Y$65/1000000 * $AN$22</f>
        <v>65.320432242547952</v>
      </c>
      <c r="H126" s="52" t="s">
        <v>4861</v>
      </c>
      <c r="I126" s="377">
        <v>1</v>
      </c>
      <c r="J126" s="377">
        <v>1</v>
      </c>
      <c r="K126" s="377">
        <v>1</v>
      </c>
      <c r="L126" s="377">
        <v>3</v>
      </c>
      <c r="M126" s="377">
        <v>1</v>
      </c>
    </row>
    <row r="127" spans="1:13" x14ac:dyDescent="0.25">
      <c r="A127" t="s">
        <v>1075</v>
      </c>
      <c r="B127" t="s">
        <v>2037</v>
      </c>
      <c r="C127" t="s">
        <v>95</v>
      </c>
      <c r="D127" t="s">
        <v>2126</v>
      </c>
      <c r="E127">
        <v>2024</v>
      </c>
      <c r="F127" t="s">
        <v>4845</v>
      </c>
      <c r="G127" s="1014">
        <f>$Y$53/1000000 * $AN$21 + $Y$67/1000000 * $AN$22</f>
        <v>0.12821415102225148</v>
      </c>
      <c r="H127" s="52" t="s">
        <v>4861</v>
      </c>
      <c r="I127" s="377">
        <v>1</v>
      </c>
      <c r="J127" s="377">
        <v>1</v>
      </c>
      <c r="K127" s="377">
        <v>1</v>
      </c>
      <c r="L127" s="377">
        <v>3</v>
      </c>
      <c r="M127" s="377">
        <v>1</v>
      </c>
    </row>
    <row r="128" spans="1:13" x14ac:dyDescent="0.25">
      <c r="A128" t="s">
        <v>1075</v>
      </c>
      <c r="B128" t="s">
        <v>2036</v>
      </c>
      <c r="C128" t="s">
        <v>95</v>
      </c>
      <c r="D128" t="s">
        <v>2126</v>
      </c>
      <c r="E128">
        <v>2024</v>
      </c>
      <c r="F128" t="s">
        <v>4846</v>
      </c>
      <c r="G128" s="1014">
        <f>$Y$54/1000000 * $AN$21 + $Y$68/1000000 * $AN$22</f>
        <v>1.3585970793807177E-3</v>
      </c>
      <c r="H128" s="52" t="s">
        <v>4861</v>
      </c>
      <c r="I128" s="377">
        <v>1</v>
      </c>
      <c r="J128" s="377">
        <v>1</v>
      </c>
      <c r="K128" s="377">
        <v>1</v>
      </c>
      <c r="L128" s="377">
        <v>3</v>
      </c>
      <c r="M128" s="377">
        <v>1</v>
      </c>
    </row>
    <row r="129" spans="1:13" x14ac:dyDescent="0.25">
      <c r="A129" t="s">
        <v>1076</v>
      </c>
      <c r="B129" t="s">
        <v>2035</v>
      </c>
      <c r="C129" t="s">
        <v>95</v>
      </c>
      <c r="D129" t="s">
        <v>2126</v>
      </c>
      <c r="E129">
        <v>2024</v>
      </c>
      <c r="F129" t="s">
        <v>4844</v>
      </c>
      <c r="G129" s="1014">
        <f>$Y$51/1000000 * $AN$21 + $Y$65/1000000 * $AN$22</f>
        <v>65.320432242547952</v>
      </c>
      <c r="H129" s="52" t="s">
        <v>4863</v>
      </c>
      <c r="I129" s="377">
        <v>2</v>
      </c>
      <c r="J129" s="377">
        <v>1</v>
      </c>
      <c r="K129" s="377">
        <v>1</v>
      </c>
      <c r="L129" s="377">
        <v>3</v>
      </c>
      <c r="M129" s="377">
        <v>1</v>
      </c>
    </row>
    <row r="130" spans="1:13" x14ac:dyDescent="0.25">
      <c r="A130" t="s">
        <v>1076</v>
      </c>
      <c r="B130" t="s">
        <v>2037</v>
      </c>
      <c r="C130" t="s">
        <v>95</v>
      </c>
      <c r="D130" t="s">
        <v>2126</v>
      </c>
      <c r="E130">
        <v>2024</v>
      </c>
      <c r="F130" t="s">
        <v>4845</v>
      </c>
      <c r="G130" s="1014">
        <f>$Y$53/1000000 * $AN$21 + $Y$67/1000000 * $AN$22</f>
        <v>0.12821415102225148</v>
      </c>
      <c r="H130" s="52" t="s">
        <v>4863</v>
      </c>
      <c r="I130" s="377">
        <v>2</v>
      </c>
      <c r="J130" s="377">
        <v>1</v>
      </c>
      <c r="K130" s="377">
        <v>1</v>
      </c>
      <c r="L130" s="377">
        <v>3</v>
      </c>
      <c r="M130" s="377">
        <v>1</v>
      </c>
    </row>
    <row r="131" spans="1:13" x14ac:dyDescent="0.25">
      <c r="A131" t="s">
        <v>1076</v>
      </c>
      <c r="B131" t="s">
        <v>2036</v>
      </c>
      <c r="C131" t="s">
        <v>95</v>
      </c>
      <c r="D131" t="s">
        <v>2126</v>
      </c>
      <c r="E131">
        <v>2024</v>
      </c>
      <c r="F131" t="s">
        <v>4846</v>
      </c>
      <c r="G131" s="1014">
        <f>$Y$54/1000000 * $AN$21 + $Y$68/1000000 * $AN$22</f>
        <v>1.3585970793807177E-3</v>
      </c>
      <c r="H131" s="52" t="s">
        <v>4863</v>
      </c>
      <c r="I131" s="377">
        <v>2</v>
      </c>
      <c r="J131" s="377">
        <v>1</v>
      </c>
      <c r="K131" s="377">
        <v>1</v>
      </c>
      <c r="L131" s="377">
        <v>3</v>
      </c>
      <c r="M131" s="377">
        <v>1</v>
      </c>
    </row>
    <row r="132" spans="1:13" x14ac:dyDescent="0.25">
      <c r="A132" t="s">
        <v>1077</v>
      </c>
      <c r="B132" t="s">
        <v>2035</v>
      </c>
      <c r="C132" t="s">
        <v>95</v>
      </c>
      <c r="D132" t="s">
        <v>2126</v>
      </c>
      <c r="E132">
        <v>2024</v>
      </c>
      <c r="F132" t="s">
        <v>4844</v>
      </c>
      <c r="G132" s="1014">
        <f>$Z$51/1000000 * $AN$21 + $Z$65/1000000 * $AN$22</f>
        <v>185.33432077698387</v>
      </c>
      <c r="H132" s="52" t="s">
        <v>4862</v>
      </c>
      <c r="I132" s="377">
        <v>1</v>
      </c>
      <c r="J132" s="377">
        <v>1</v>
      </c>
      <c r="K132" s="377">
        <v>1</v>
      </c>
      <c r="L132" s="377">
        <v>3</v>
      </c>
      <c r="M132" s="377">
        <v>1</v>
      </c>
    </row>
    <row r="133" spans="1:13" x14ac:dyDescent="0.25">
      <c r="A133" t="s">
        <v>1077</v>
      </c>
      <c r="B133" t="s">
        <v>2037</v>
      </c>
      <c r="C133" t="s">
        <v>95</v>
      </c>
      <c r="D133" t="s">
        <v>2126</v>
      </c>
      <c r="E133">
        <v>2024</v>
      </c>
      <c r="F133" t="s">
        <v>4845</v>
      </c>
      <c r="G133" s="1014">
        <f>$Z$53/1000000 * $AN$21 + $Z$67/1000000 * $AN$22</f>
        <v>0.7342152092561991</v>
      </c>
      <c r="H133" s="52" t="s">
        <v>4862</v>
      </c>
      <c r="I133" s="377">
        <v>1</v>
      </c>
      <c r="J133" s="377">
        <v>1</v>
      </c>
      <c r="K133" s="377">
        <v>1</v>
      </c>
      <c r="L133" s="377">
        <v>3</v>
      </c>
      <c r="M133" s="377">
        <v>1</v>
      </c>
    </row>
    <row r="134" spans="1:13" x14ac:dyDescent="0.25">
      <c r="A134" t="s">
        <v>1077</v>
      </c>
      <c r="B134" t="s">
        <v>2036</v>
      </c>
      <c r="C134" t="s">
        <v>95</v>
      </c>
      <c r="D134" t="s">
        <v>2126</v>
      </c>
      <c r="E134">
        <v>2024</v>
      </c>
      <c r="F134" t="s">
        <v>4846</v>
      </c>
      <c r="G134" s="1014">
        <f>$Z$54/1000000 * $AN$21 + $Z$68/1000000 * $AN$22</f>
        <v>5.1731821878420745E-3</v>
      </c>
      <c r="H134" s="52" t="s">
        <v>4862</v>
      </c>
      <c r="I134" s="377">
        <v>1</v>
      </c>
      <c r="J134" s="377">
        <v>1</v>
      </c>
      <c r="K134" s="377">
        <v>1</v>
      </c>
      <c r="L134" s="377">
        <v>3</v>
      </c>
      <c r="M134" s="377">
        <v>1</v>
      </c>
    </row>
    <row r="135" spans="1:13" x14ac:dyDescent="0.25">
      <c r="A135" t="s">
        <v>1078</v>
      </c>
      <c r="B135" t="s">
        <v>2035</v>
      </c>
      <c r="C135" t="s">
        <v>95</v>
      </c>
      <c r="D135" t="s">
        <v>2126</v>
      </c>
      <c r="E135">
        <v>2024</v>
      </c>
      <c r="F135" t="s">
        <v>4844</v>
      </c>
      <c r="G135" s="1014">
        <f>$AA$51/1000000 * $AN$21 + $AA$65/1000000 * $AN$22</f>
        <v>83.278780150031409</v>
      </c>
      <c r="H135" s="52" t="s">
        <v>4861</v>
      </c>
      <c r="I135" s="377">
        <v>1</v>
      </c>
      <c r="J135" s="377">
        <v>1</v>
      </c>
      <c r="K135" s="377">
        <v>1</v>
      </c>
      <c r="L135" s="377">
        <v>3</v>
      </c>
      <c r="M135" s="377">
        <v>1</v>
      </c>
    </row>
    <row r="136" spans="1:13" x14ac:dyDescent="0.25">
      <c r="A136" t="s">
        <v>1078</v>
      </c>
      <c r="B136" t="s">
        <v>2037</v>
      </c>
      <c r="C136" t="s">
        <v>95</v>
      </c>
      <c r="D136" t="s">
        <v>2126</v>
      </c>
      <c r="E136">
        <v>2024</v>
      </c>
      <c r="F136" t="s">
        <v>4845</v>
      </c>
      <c r="G136" s="1014">
        <f>$AA$53/1000000 * $AN$21 + $AA$67/1000000 * $AN$22</f>
        <v>0.18202810110115009</v>
      </c>
      <c r="H136" s="52" t="s">
        <v>4861</v>
      </c>
      <c r="I136" s="377">
        <v>1</v>
      </c>
      <c r="J136" s="377">
        <v>1</v>
      </c>
      <c r="K136" s="377">
        <v>1</v>
      </c>
      <c r="L136" s="377">
        <v>3</v>
      </c>
      <c r="M136" s="377">
        <v>1</v>
      </c>
    </row>
    <row r="137" spans="1:13" x14ac:dyDescent="0.25">
      <c r="A137" t="s">
        <v>1078</v>
      </c>
      <c r="B137" t="s">
        <v>2036</v>
      </c>
      <c r="C137" t="s">
        <v>95</v>
      </c>
      <c r="D137" t="s">
        <v>2126</v>
      </c>
      <c r="E137">
        <v>2024</v>
      </c>
      <c r="F137" t="s">
        <v>4846</v>
      </c>
      <c r="G137" s="1014">
        <f>$AA$54/1000000 * $AN$21 + $AA$68/1000000 * $AN$22</f>
        <v>1.9694939350403356E-3</v>
      </c>
      <c r="H137" s="52" t="s">
        <v>4861</v>
      </c>
      <c r="I137" s="377">
        <v>1</v>
      </c>
      <c r="J137" s="377">
        <v>1</v>
      </c>
      <c r="K137" s="377">
        <v>1</v>
      </c>
      <c r="L137" s="377">
        <v>3</v>
      </c>
      <c r="M137" s="377">
        <v>1</v>
      </c>
    </row>
    <row r="138" spans="1:13" x14ac:dyDescent="0.25">
      <c r="A138" t="s">
        <v>1079</v>
      </c>
      <c r="B138" t="s">
        <v>2035</v>
      </c>
      <c r="C138" t="s">
        <v>95</v>
      </c>
      <c r="D138" t="s">
        <v>2126</v>
      </c>
      <c r="E138">
        <v>2024</v>
      </c>
      <c r="F138" t="s">
        <v>4844</v>
      </c>
      <c r="G138" s="1014">
        <f>$AA$51/1000000 * $AN$21 + $AA$65/1000000 * $AN$22</f>
        <v>83.278780150031409</v>
      </c>
      <c r="H138" s="52" t="s">
        <v>4861</v>
      </c>
      <c r="I138" s="377">
        <v>1</v>
      </c>
      <c r="J138" s="377">
        <v>1</v>
      </c>
      <c r="K138" s="377">
        <v>1</v>
      </c>
      <c r="L138" s="377">
        <v>3</v>
      </c>
      <c r="M138" s="377">
        <v>1</v>
      </c>
    </row>
    <row r="139" spans="1:13" x14ac:dyDescent="0.25">
      <c r="A139" t="s">
        <v>1079</v>
      </c>
      <c r="B139" t="s">
        <v>2037</v>
      </c>
      <c r="C139" t="s">
        <v>95</v>
      </c>
      <c r="D139" t="s">
        <v>2126</v>
      </c>
      <c r="E139">
        <v>2024</v>
      </c>
      <c r="F139" t="s">
        <v>4845</v>
      </c>
      <c r="G139" s="1014">
        <f>$AA$53/1000000 * $AN$21 + $AA$67/1000000 * $AN$22</f>
        <v>0.18202810110115009</v>
      </c>
      <c r="H139" s="52" t="s">
        <v>4861</v>
      </c>
      <c r="I139" s="377">
        <v>1</v>
      </c>
      <c r="J139" s="377">
        <v>1</v>
      </c>
      <c r="K139" s="377">
        <v>1</v>
      </c>
      <c r="L139" s="377">
        <v>3</v>
      </c>
      <c r="M139" s="377">
        <v>1</v>
      </c>
    </row>
    <row r="140" spans="1:13" x14ac:dyDescent="0.25">
      <c r="A140" t="s">
        <v>1079</v>
      </c>
      <c r="B140" t="s">
        <v>2036</v>
      </c>
      <c r="C140" t="s">
        <v>95</v>
      </c>
      <c r="D140" t="s">
        <v>2126</v>
      </c>
      <c r="E140">
        <v>2024</v>
      </c>
      <c r="F140" t="s">
        <v>4846</v>
      </c>
      <c r="G140" s="1014">
        <f>$AA$54/1000000 * $AN$21 + $AA$68/1000000 * $AN$22</f>
        <v>1.9694939350403356E-3</v>
      </c>
      <c r="H140" s="52" t="s">
        <v>4861</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A49:A60 A91:A121</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A165:A173 A133:A135</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A136:A146 A132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57" t="s">
        <v>1864</v>
      </c>
      <c r="H1" s="1058"/>
      <c r="I1" s="1058"/>
      <c r="J1" s="1058"/>
      <c r="K1" s="1058"/>
      <c r="L1" s="1058"/>
      <c r="M1" s="1059"/>
      <c r="O1" s="1037" t="s">
        <v>147</v>
      </c>
      <c r="P1" s="1038"/>
      <c r="Q1" s="1038"/>
      <c r="R1" s="1038"/>
      <c r="S1" s="1038"/>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4393</v>
      </c>
      <c r="B3" t="s">
        <v>95</v>
      </c>
      <c r="C3" t="s">
        <v>4050</v>
      </c>
      <c r="D3">
        <v>2023</v>
      </c>
      <c r="E3" t="s">
        <v>2053</v>
      </c>
      <c r="F3" s="52" t="s">
        <v>4490</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4492</v>
      </c>
      <c r="O3" s="717">
        <v>3</v>
      </c>
      <c r="P3" s="377">
        <v>1</v>
      </c>
      <c r="Q3" s="377">
        <v>1</v>
      </c>
      <c r="R3" s="377">
        <v>3</v>
      </c>
      <c r="S3" s="377">
        <v>1</v>
      </c>
    </row>
    <row r="4" spans="1:19" x14ac:dyDescent="0.25">
      <c r="A4" t="s">
        <v>4393</v>
      </c>
      <c r="B4" t="s">
        <v>95</v>
      </c>
      <c r="C4" t="s">
        <v>4050</v>
      </c>
      <c r="D4">
        <v>2023</v>
      </c>
      <c r="E4" t="s">
        <v>4773</v>
      </c>
      <c r="F4" s="52" t="s">
        <v>4490</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4493</v>
      </c>
      <c r="O4" s="717">
        <v>3</v>
      </c>
      <c r="P4" s="377">
        <v>1</v>
      </c>
      <c r="Q4" s="377">
        <v>1</v>
      </c>
      <c r="R4" s="377">
        <v>3</v>
      </c>
      <c r="S4" s="377">
        <v>1</v>
      </c>
    </row>
    <row r="5" spans="1:19" x14ac:dyDescent="0.25">
      <c r="A5" t="s">
        <v>1859</v>
      </c>
      <c r="B5" t="s">
        <v>95</v>
      </c>
      <c r="C5" t="s">
        <v>4050</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4046</v>
      </c>
      <c r="O5" s="717">
        <v>3</v>
      </c>
      <c r="P5" s="377">
        <v>1</v>
      </c>
      <c r="Q5" s="377">
        <v>1</v>
      </c>
      <c r="R5" s="377">
        <v>3</v>
      </c>
      <c r="S5" s="377">
        <v>1</v>
      </c>
    </row>
    <row r="6" spans="1:19" x14ac:dyDescent="0.25">
      <c r="A6" t="s">
        <v>1859</v>
      </c>
      <c r="B6" t="s">
        <v>95</v>
      </c>
      <c r="C6" t="s">
        <v>4050</v>
      </c>
      <c r="D6">
        <v>2023</v>
      </c>
      <c r="E6" t="s">
        <v>4773</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4047</v>
      </c>
      <c r="O6" s="717">
        <v>3</v>
      </c>
      <c r="P6" s="377">
        <v>1</v>
      </c>
      <c r="Q6" s="377">
        <v>1</v>
      </c>
      <c r="R6" s="377">
        <v>3</v>
      </c>
      <c r="S6" s="377">
        <v>1</v>
      </c>
    </row>
    <row r="7" spans="1:19" x14ac:dyDescent="0.25">
      <c r="A7" t="s">
        <v>1893</v>
      </c>
      <c r="B7" t="s">
        <v>95</v>
      </c>
      <c r="C7" t="s">
        <v>4050</v>
      </c>
      <c r="D7">
        <v>2023</v>
      </c>
      <c r="E7" t="s">
        <v>2054</v>
      </c>
      <c r="F7" s="52" t="s">
        <v>4040</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4048</v>
      </c>
      <c r="O7" s="717">
        <v>3</v>
      </c>
      <c r="P7" s="377">
        <v>1</v>
      </c>
      <c r="Q7" s="377">
        <v>1</v>
      </c>
      <c r="R7" s="377">
        <v>3</v>
      </c>
      <c r="S7" s="377">
        <v>1</v>
      </c>
    </row>
    <row r="8" spans="1:19" x14ac:dyDescent="0.25">
      <c r="A8" t="s">
        <v>1893</v>
      </c>
      <c r="B8" t="s">
        <v>95</v>
      </c>
      <c r="C8" t="s">
        <v>4050</v>
      </c>
      <c r="D8">
        <v>2023</v>
      </c>
      <c r="E8" t="s">
        <v>2062</v>
      </c>
      <c r="F8" s="52" t="s">
        <v>4040</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4048</v>
      </c>
      <c r="O8" s="717">
        <v>3</v>
      </c>
      <c r="P8" s="377">
        <v>1</v>
      </c>
      <c r="Q8" s="377">
        <v>1</v>
      </c>
      <c r="R8" s="377">
        <v>3</v>
      </c>
      <c r="S8" s="377">
        <v>1</v>
      </c>
    </row>
    <row r="9" spans="1:19" x14ac:dyDescent="0.25">
      <c r="A9" t="s">
        <v>1894</v>
      </c>
      <c r="B9" t="s">
        <v>95</v>
      </c>
      <c r="C9" t="s">
        <v>4050</v>
      </c>
      <c r="D9">
        <v>2023</v>
      </c>
      <c r="E9" t="s">
        <v>2054</v>
      </c>
      <c r="F9" s="52" t="s">
        <v>4038</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4049</v>
      </c>
      <c r="O9" s="717">
        <v>3</v>
      </c>
      <c r="P9" s="377">
        <v>1</v>
      </c>
      <c r="Q9" s="377">
        <v>1</v>
      </c>
      <c r="R9" s="377">
        <v>3</v>
      </c>
      <c r="S9" s="377">
        <v>1</v>
      </c>
    </row>
    <row r="10" spans="1:19" x14ac:dyDescent="0.25">
      <c r="A10" t="s">
        <v>1894</v>
      </c>
      <c r="B10" t="s">
        <v>95</v>
      </c>
      <c r="C10" t="s">
        <v>4050</v>
      </c>
      <c r="D10">
        <v>2023</v>
      </c>
      <c r="E10" t="s">
        <v>2063</v>
      </c>
      <c r="F10" s="52" t="s">
        <v>4038</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4049</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2948</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2948</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4080</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2882</v>
      </c>
      <c r="B21" t="s">
        <v>95</v>
      </c>
      <c r="C21" t="s">
        <v>1644</v>
      </c>
      <c r="D21">
        <v>2022</v>
      </c>
      <c r="E21" t="s">
        <v>4080</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2932</v>
      </c>
      <c r="O21" s="717">
        <v>3</v>
      </c>
      <c r="P21" s="377">
        <v>1</v>
      </c>
      <c r="Q21" s="377">
        <v>1</v>
      </c>
      <c r="R21" s="377">
        <v>3</v>
      </c>
      <c r="S21" s="377">
        <v>1</v>
      </c>
    </row>
    <row r="22" spans="1:19" x14ac:dyDescent="0.25">
      <c r="A22" t="s">
        <v>2882</v>
      </c>
      <c r="B22" t="s">
        <v>95</v>
      </c>
      <c r="C22" t="s">
        <v>1644</v>
      </c>
      <c r="D22">
        <v>2022</v>
      </c>
      <c r="E22" t="s">
        <v>2891</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2932</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119" t="s">
        <v>2156</v>
      </c>
      <c r="AD1" s="1120"/>
      <c r="AE1" s="1120"/>
      <c r="AF1" s="1120"/>
      <c r="AG1" s="1120"/>
      <c r="AH1" s="1120"/>
      <c r="AI1" s="1120"/>
      <c r="AJ1" s="1120"/>
      <c r="AK1" s="1120"/>
      <c r="AL1" s="1120"/>
      <c r="AM1" s="1120"/>
      <c r="AN1" s="1120"/>
      <c r="AO1" s="1120"/>
      <c r="AP1" s="1120"/>
      <c r="AQ1" s="1120"/>
      <c r="AR1" s="1121"/>
      <c r="AT1" s="1119" t="s">
        <v>2157</v>
      </c>
      <c r="AU1" s="1120"/>
      <c r="AV1" s="1120"/>
      <c r="AW1" s="1120"/>
      <c r="AX1" s="1120"/>
      <c r="AY1" s="1120"/>
      <c r="AZ1" s="1120"/>
      <c r="BA1" s="1120"/>
      <c r="BB1" s="1120"/>
      <c r="BC1" s="1120"/>
      <c r="BD1" s="1120"/>
      <c r="BE1" s="1120"/>
      <c r="BF1" s="1120"/>
      <c r="BG1" s="1120"/>
      <c r="BH1" s="1120"/>
      <c r="BI1" s="1120"/>
      <c r="BJ1" s="1120"/>
      <c r="BK1" s="1120"/>
      <c r="BL1" s="1120"/>
      <c r="BM1" s="1120"/>
      <c r="BN1" s="1120"/>
      <c r="BO1" s="1120"/>
      <c r="BP1" s="1120"/>
      <c r="BQ1" s="1121"/>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25" t="s">
        <v>670</v>
      </c>
      <c r="AD2" s="1126"/>
      <c r="AE2" s="1126"/>
      <c r="AF2" s="1126"/>
      <c r="AG2" s="1126"/>
      <c r="AH2" s="1126"/>
      <c r="AI2" s="1126"/>
      <c r="AJ2" s="1126"/>
      <c r="AK2" s="1126"/>
      <c r="AL2" s="1126"/>
      <c r="AM2" s="445"/>
      <c r="AN2" s="445"/>
      <c r="AO2" s="1126" t="s">
        <v>793</v>
      </c>
      <c r="AP2" s="1126"/>
      <c r="AQ2" s="1126"/>
      <c r="AR2" s="1138"/>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4549</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2846</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4494</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2841</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4495</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2842</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4496</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2845</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4497</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2844</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4498</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2843</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4499</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2843</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4500</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4501</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2840</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4502</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2840</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2850</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4503</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2839</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4504</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2847</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4505</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2848</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4506</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4507</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2849</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4510</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35" t="s">
        <v>2158</v>
      </c>
      <c r="AD22" s="1136"/>
      <c r="AE22" s="1136"/>
      <c r="AF22" s="1136"/>
      <c r="AG22" s="1136"/>
      <c r="AH22" s="1136"/>
      <c r="AI22" s="1136"/>
      <c r="AJ22" s="1136"/>
      <c r="AK22" s="1136"/>
      <c r="AL22" s="1136"/>
      <c r="AM22" s="1136"/>
      <c r="AN22" s="1136"/>
      <c r="AO22" s="1136"/>
      <c r="AP22" s="1136"/>
      <c r="AQ22" s="1136"/>
      <c r="AR22" s="1136"/>
      <c r="AS22" s="1136"/>
      <c r="AT22" s="1136"/>
      <c r="AU22" s="1136"/>
      <c r="AV22" s="1136"/>
      <c r="AW22" s="1136"/>
      <c r="AX22" s="1137"/>
      <c r="BA22" s="1135" t="s">
        <v>2159</v>
      </c>
      <c r="BB22" s="1136"/>
      <c r="BC22" s="1136"/>
      <c r="BD22" s="1136"/>
      <c r="BE22" s="1136"/>
      <c r="BF22" s="1136"/>
      <c r="BG22" s="1136"/>
      <c r="BH22" s="1136"/>
      <c r="BI22" s="1136"/>
      <c r="BJ22" s="1136"/>
      <c r="BK22" s="1136"/>
      <c r="BL22" s="1137"/>
    </row>
    <row r="23" spans="1:69" ht="16.5" thickBot="1" x14ac:dyDescent="0.3">
      <c r="A23" s="3" t="s">
        <v>4511</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4512</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4513</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4359</v>
      </c>
      <c r="BD25" s="98">
        <f t="shared" ref="BD25:BD33" si="3">1/BB25</f>
        <v>7.1428571428571425E-2</v>
      </c>
      <c r="BE25" s="445"/>
      <c r="BF25" s="445"/>
      <c r="BG25" s="445"/>
      <c r="BH25" s="445"/>
      <c r="BI25" s="445"/>
      <c r="BJ25" s="445"/>
      <c r="BK25" s="445"/>
      <c r="BL25" s="459"/>
    </row>
    <row r="26" spans="1:69" x14ac:dyDescent="0.25">
      <c r="A26" s="3" t="s">
        <v>4514</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4359</v>
      </c>
      <c r="BD26" s="98">
        <f t="shared" si="3"/>
        <v>6.25E-2</v>
      </c>
      <c r="BE26" s="445"/>
      <c r="BF26" s="445"/>
      <c r="BG26" s="445"/>
      <c r="BH26" s="445"/>
      <c r="BI26" s="445"/>
      <c r="BJ26" s="445"/>
      <c r="BK26" s="445"/>
      <c r="BL26" s="459"/>
    </row>
    <row r="27" spans="1:69" x14ac:dyDescent="0.25">
      <c r="A27" s="3" t="s">
        <v>4508</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4359</v>
      </c>
      <c r="BD27" s="98">
        <f t="shared" si="3"/>
        <v>5.5555555555555552E-2</v>
      </c>
      <c r="BE27" s="445"/>
      <c r="BF27" s="445"/>
      <c r="BG27" s="445"/>
      <c r="BH27" s="445"/>
      <c r="BI27" s="445"/>
      <c r="BJ27" s="445"/>
      <c r="BK27" s="445"/>
      <c r="BL27" s="459"/>
    </row>
    <row r="28" spans="1:69" x14ac:dyDescent="0.25">
      <c r="A28" s="3" t="s">
        <v>4515</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4509</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4516</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4383</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4517</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4518</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4519</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4520</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4521</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4522</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4523</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4524</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4525</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3982</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3983</v>
      </c>
      <c r="AD43" s="364" t="s">
        <v>4002</v>
      </c>
      <c r="AE43" s="364" t="s">
        <v>4003</v>
      </c>
      <c r="AF43" s="364" t="s">
        <v>4004</v>
      </c>
      <c r="AG43" s="364" t="s">
        <v>4777</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3984</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3985</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4526</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3986</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4527</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3987</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4528</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3988</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4529</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3989</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4530</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3990</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4005</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4531</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4532</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4778</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4533</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4779</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4534</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4780</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4279</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4535</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4536</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4537</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4538</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4539</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4540</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4016</v>
      </c>
      <c r="BB63" s="445"/>
      <c r="BC63" s="445"/>
      <c r="BD63" s="445"/>
      <c r="BE63" s="445"/>
      <c r="BF63" s="445"/>
      <c r="BG63" s="445"/>
      <c r="BH63" s="445"/>
      <c r="BI63" s="445"/>
      <c r="BJ63" s="445"/>
      <c r="BK63" s="445"/>
      <c r="BL63" s="459"/>
    </row>
    <row r="64" spans="1:64" ht="15.75" thickTop="1" x14ac:dyDescent="0.25">
      <c r="A64" s="3" t="s">
        <v>4541</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4542</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4543</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4544</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4015</v>
      </c>
      <c r="BB68" s="445"/>
      <c r="BC68" s="445"/>
      <c r="BD68" s="445"/>
      <c r="BE68" s="445"/>
      <c r="BF68" s="445"/>
      <c r="BG68" s="445"/>
      <c r="BH68" s="445"/>
      <c r="BI68" s="445"/>
      <c r="BJ68" s="445"/>
      <c r="BK68" s="445"/>
      <c r="BL68" s="459"/>
    </row>
    <row r="69" spans="1:64" ht="15.75" thickBot="1" x14ac:dyDescent="0.3">
      <c r="A69" s="3" t="s">
        <v>4545</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4546</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4547</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4548</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4550</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4551</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4552</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4553</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4554</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4555</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4556</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4557</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4558</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4559</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4560</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4561</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4562</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4563</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4564</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4565</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4566</v>
      </c>
      <c r="B93" s="170" t="s">
        <v>4384</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4028</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4567</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4568</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4569</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4570</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4571</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4572</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4573</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4574</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4575</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4576</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4577</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4578</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4579</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4580</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4581</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4582</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4583</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4584</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4585</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4028</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33" t="s">
        <v>105</v>
      </c>
      <c r="AM145" s="1118" t="s">
        <v>1647</v>
      </c>
      <c r="AN145" s="1118"/>
      <c r="AO145" s="1118"/>
      <c r="AP145" s="1127" t="s">
        <v>1662</v>
      </c>
      <c r="AQ145" s="1129" t="s">
        <v>1663</v>
      </c>
      <c r="AR145" s="1131"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34"/>
      <c r="AM146" s="317" t="s">
        <v>1660</v>
      </c>
      <c r="AN146" s="317" t="s">
        <v>1661</v>
      </c>
      <c r="AO146" s="317" t="s">
        <v>1648</v>
      </c>
      <c r="AP146" s="1128"/>
      <c r="AQ146" s="1130"/>
      <c r="AR146" s="1132"/>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2" t="s">
        <v>403</v>
      </c>
      <c r="AE157" s="1123"/>
      <c r="AF157" s="1124"/>
      <c r="AG157" s="1122" t="s">
        <v>395</v>
      </c>
      <c r="AH157" s="1123"/>
      <c r="AI157" s="1123"/>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2971</v>
      </c>
      <c r="O1" s="821" t="s">
        <v>4086</v>
      </c>
      <c r="P1" s="70"/>
      <c r="Q1" s="295"/>
      <c r="R1" s="295"/>
      <c r="T1" s="821" t="s">
        <v>4616</v>
      </c>
      <c r="U1" s="70"/>
      <c r="V1" s="70"/>
      <c r="W1" s="70"/>
      <c r="X1" s="70"/>
      <c r="Y1" s="70"/>
      <c r="Z1" s="295"/>
    </row>
    <row r="2" spans="1:58" ht="15.75" thickBot="1" x14ac:dyDescent="0.3">
      <c r="A2" s="232" t="s">
        <v>225</v>
      </c>
      <c r="B2" s="88" t="s">
        <v>1310</v>
      </c>
      <c r="C2" s="88" t="s">
        <v>1311</v>
      </c>
      <c r="D2" s="88" t="s">
        <v>2852</v>
      </c>
      <c r="E2" s="88" t="s">
        <v>2853</v>
      </c>
      <c r="F2" s="88" t="s">
        <v>2854</v>
      </c>
      <c r="G2" s="88" t="s">
        <v>2855</v>
      </c>
      <c r="H2" s="88" t="s">
        <v>1312</v>
      </c>
      <c r="I2" s="88" t="s">
        <v>1313</v>
      </c>
      <c r="J2" s="88" t="s">
        <v>1314</v>
      </c>
      <c r="K2" s="88" t="s">
        <v>1315</v>
      </c>
      <c r="L2" s="88" t="s">
        <v>1316</v>
      </c>
      <c r="M2" s="378" t="s">
        <v>1317</v>
      </c>
      <c r="O2" s="232" t="s">
        <v>1091</v>
      </c>
      <c r="P2" s="88" t="s">
        <v>4247</v>
      </c>
      <c r="Q2" s="88" t="s">
        <v>4611</v>
      </c>
      <c r="R2" s="378" t="s">
        <v>4610</v>
      </c>
      <c r="T2" s="232" t="s">
        <v>1091</v>
      </c>
      <c r="U2" s="88" t="s">
        <v>4613</v>
      </c>
      <c r="V2" s="88" t="s">
        <v>4614</v>
      </c>
      <c r="W2" s="88" t="s">
        <v>4615</v>
      </c>
      <c r="X2" s="88" t="s">
        <v>4617</v>
      </c>
      <c r="Y2" s="88" t="s">
        <v>4618</v>
      </c>
      <c r="Z2" s="378" t="s">
        <v>4619</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2972</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2852</v>
      </c>
      <c r="E7" s="88" t="s">
        <v>2853</v>
      </c>
      <c r="F7" s="88" t="s">
        <v>2854</v>
      </c>
      <c r="G7" s="88" t="s">
        <v>2855</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2856</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2852</v>
      </c>
      <c r="E11" s="88" t="s">
        <v>2853</v>
      </c>
      <c r="F11" s="88" t="s">
        <v>2854</v>
      </c>
      <c r="G11" s="88" t="s">
        <v>2855</v>
      </c>
      <c r="H11" s="88" t="s">
        <v>1312</v>
      </c>
      <c r="I11" s="88" t="s">
        <v>1313</v>
      </c>
      <c r="J11" s="88" t="s">
        <v>1314</v>
      </c>
      <c r="K11" s="88" t="s">
        <v>1315</v>
      </c>
      <c r="L11" s="88" t="s">
        <v>1316</v>
      </c>
      <c r="M11" s="378" t="s">
        <v>1317</v>
      </c>
      <c r="O11" s="1038" t="s">
        <v>4612</v>
      </c>
      <c r="P11" s="1038"/>
      <c r="Q11" s="1139">
        <v>2.0299999999999999E-2</v>
      </c>
      <c r="R11" s="1139"/>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2857</v>
      </c>
      <c r="T15" s="28"/>
      <c r="U15" s="28"/>
      <c r="V15" s="28"/>
      <c r="BD15" s="955"/>
      <c r="BE15" s="955"/>
      <c r="BF15" s="955"/>
    </row>
    <row r="16" spans="1:58" ht="15.75" thickBot="1" x14ac:dyDescent="0.3">
      <c r="A16" s="88" t="s">
        <v>225</v>
      </c>
      <c r="B16" s="88" t="s">
        <v>1310</v>
      </c>
      <c r="C16" s="88" t="s">
        <v>1311</v>
      </c>
      <c r="D16" s="88" t="s">
        <v>2852</v>
      </c>
      <c r="E16" s="88" t="s">
        <v>2853</v>
      </c>
      <c r="F16" s="88" t="s">
        <v>2854</v>
      </c>
      <c r="G16" s="88" t="s">
        <v>2855</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2700</v>
      </c>
    </row>
    <row r="20" spans="1:51" ht="15.75" x14ac:dyDescent="0.25">
      <c r="A20" s="159" t="s">
        <v>2759</v>
      </c>
    </row>
    <row r="21" spans="1:51" ht="105.75" thickBot="1" x14ac:dyDescent="0.3">
      <c r="A21" s="88" t="s">
        <v>1091</v>
      </c>
      <c r="B21" s="758" t="s">
        <v>2715</v>
      </c>
      <c r="C21" s="758" t="s">
        <v>2716</v>
      </c>
      <c r="D21" s="758" t="s">
        <v>2717</v>
      </c>
      <c r="E21" s="758" t="s">
        <v>2709</v>
      </c>
      <c r="F21" s="758" t="s">
        <v>2710</v>
      </c>
      <c r="G21" s="758" t="s">
        <v>2718</v>
      </c>
      <c r="H21" s="758" t="s">
        <v>2719</v>
      </c>
      <c r="I21" s="758" t="s">
        <v>2720</v>
      </c>
      <c r="J21" s="758" t="s">
        <v>2721</v>
      </c>
      <c r="K21" s="758" t="s">
        <v>2722</v>
      </c>
      <c r="L21" s="758" t="s">
        <v>2723</v>
      </c>
      <c r="M21" s="758" t="s">
        <v>2724</v>
      </c>
      <c r="N21" s="758" t="s">
        <v>2725</v>
      </c>
      <c r="O21" s="758" t="s">
        <v>2726</v>
      </c>
      <c r="P21" s="758" t="s">
        <v>2727</v>
      </c>
      <c r="Q21" s="758" t="s">
        <v>2728</v>
      </c>
      <c r="R21" s="758" t="s">
        <v>2729</v>
      </c>
      <c r="S21" s="758" t="s">
        <v>2730</v>
      </c>
      <c r="T21" s="758" t="s">
        <v>2731</v>
      </c>
      <c r="U21" s="758" t="s">
        <v>2732</v>
      </c>
      <c r="V21" s="758" t="s">
        <v>2711</v>
      </c>
      <c r="W21" s="758" t="s">
        <v>2712</v>
      </c>
      <c r="X21" s="758" t="s">
        <v>2733</v>
      </c>
      <c r="Y21" s="758" t="s">
        <v>2734</v>
      </c>
      <c r="Z21" s="758" t="s">
        <v>2735</v>
      </c>
      <c r="AA21" s="758" t="s">
        <v>2736</v>
      </c>
      <c r="AB21" s="758" t="s">
        <v>2737</v>
      </c>
      <c r="AC21" s="758" t="s">
        <v>2738</v>
      </c>
      <c r="AD21" s="758" t="s">
        <v>2739</v>
      </c>
      <c r="AE21" s="758" t="s">
        <v>2740</v>
      </c>
      <c r="AF21" s="758" t="s">
        <v>2741</v>
      </c>
      <c r="AG21" s="758" t="s">
        <v>2713</v>
      </c>
      <c r="AH21" s="758" t="s">
        <v>2742</v>
      </c>
      <c r="AI21" s="758" t="s">
        <v>2743</v>
      </c>
      <c r="AJ21" s="758" t="s">
        <v>2744</v>
      </c>
      <c r="AK21" s="758" t="s">
        <v>2745</v>
      </c>
      <c r="AL21" s="758" t="s">
        <v>2746</v>
      </c>
      <c r="AM21" s="758" t="s">
        <v>2747</v>
      </c>
      <c r="AN21" s="758" t="s">
        <v>2714</v>
      </c>
      <c r="AO21" s="758" t="s">
        <v>2748</v>
      </c>
      <c r="AP21" s="758" t="s">
        <v>2749</v>
      </c>
      <c r="AQ21" s="758" t="s">
        <v>2750</v>
      </c>
      <c r="AR21" s="758" t="s">
        <v>2751</v>
      </c>
      <c r="AS21" s="758" t="s">
        <v>2752</v>
      </c>
      <c r="AT21" s="758" t="s">
        <v>2753</v>
      </c>
      <c r="AU21" s="758" t="s">
        <v>2754</v>
      </c>
      <c r="AV21" s="758" t="s">
        <v>2755</v>
      </c>
      <c r="AW21" s="758" t="s">
        <v>2756</v>
      </c>
      <c r="AX21" s="758" t="s">
        <v>2757</v>
      </c>
      <c r="AY21" s="758" t="s">
        <v>2758</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2761</v>
      </c>
    </row>
    <row r="37" spans="1:51" s="28" customFormat="1" ht="120.75" thickBot="1" x14ac:dyDescent="0.3">
      <c r="A37" s="88" t="s">
        <v>1091</v>
      </c>
      <c r="B37" s="758" t="s">
        <v>2762</v>
      </c>
      <c r="C37" s="758" t="s">
        <v>2763</v>
      </c>
      <c r="D37" s="758" t="s">
        <v>2764</v>
      </c>
      <c r="E37" s="758" t="s">
        <v>2801</v>
      </c>
      <c r="F37" s="758" t="s">
        <v>2717</v>
      </c>
      <c r="G37" s="758" t="s">
        <v>2765</v>
      </c>
      <c r="H37" s="758" t="s">
        <v>2760</v>
      </c>
      <c r="I37" s="758" t="s">
        <v>2766</v>
      </c>
      <c r="J37" s="758" t="s">
        <v>2767</v>
      </c>
      <c r="K37" s="758" t="s">
        <v>2768</v>
      </c>
      <c r="L37" s="758" t="s">
        <v>2769</v>
      </c>
      <c r="M37" s="758" t="s">
        <v>2711</v>
      </c>
      <c r="N37" s="758" t="s">
        <v>2712</v>
      </c>
      <c r="O37" s="758" t="s">
        <v>2770</v>
      </c>
      <c r="P37" s="758" t="s">
        <v>2771</v>
      </c>
      <c r="Q37" s="758" t="s">
        <v>2772</v>
      </c>
      <c r="R37" s="758" t="s">
        <v>2773</v>
      </c>
      <c r="S37" s="758" t="s">
        <v>2774</v>
      </c>
      <c r="T37" s="758" t="s">
        <v>2775</v>
      </c>
      <c r="U37" s="758" t="s">
        <v>2776</v>
      </c>
      <c r="V37" s="758" t="s">
        <v>2777</v>
      </c>
      <c r="W37" s="758" t="s">
        <v>2778</v>
      </c>
      <c r="X37" s="758" t="s">
        <v>2779</v>
      </c>
      <c r="Y37" s="758" t="s">
        <v>2780</v>
      </c>
      <c r="Z37" s="758" t="s">
        <v>2781</v>
      </c>
      <c r="AA37" s="758" t="s">
        <v>2782</v>
      </c>
      <c r="AB37" s="758" t="s">
        <v>2783</v>
      </c>
      <c r="AC37" s="758" t="s">
        <v>2784</v>
      </c>
      <c r="AD37" s="758" t="s">
        <v>2785</v>
      </c>
      <c r="AE37" s="758" t="s">
        <v>2786</v>
      </c>
      <c r="AF37" s="758" t="s">
        <v>2787</v>
      </c>
      <c r="AG37" s="758" t="s">
        <v>2788</v>
      </c>
      <c r="AH37" s="758" t="s">
        <v>2789</v>
      </c>
      <c r="AI37" s="758" t="s">
        <v>2790</v>
      </c>
      <c r="AJ37" s="758" t="s">
        <v>2791</v>
      </c>
      <c r="AK37" s="758" t="s">
        <v>2792</v>
      </c>
      <c r="AL37" s="758" t="s">
        <v>2793</v>
      </c>
      <c r="AM37" s="758" t="s">
        <v>2794</v>
      </c>
      <c r="AN37" s="758" t="s">
        <v>2795</v>
      </c>
      <c r="AO37" s="758" t="s">
        <v>2796</v>
      </c>
      <c r="AP37" s="758" t="s">
        <v>2797</v>
      </c>
      <c r="AQ37" s="758" t="s">
        <v>2798</v>
      </c>
      <c r="AR37" s="758" t="s">
        <v>2799</v>
      </c>
      <c r="AS37" s="758" t="s">
        <v>2800</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2828</v>
      </c>
      <c r="C52" s="53" t="s">
        <v>2826</v>
      </c>
      <c r="D52" s="1038" t="s">
        <v>2827</v>
      </c>
      <c r="E52" s="1038"/>
      <c r="F52" s="1038"/>
      <c r="G52" s="1038"/>
      <c r="H52" s="1038"/>
      <c r="I52" s="1038"/>
      <c r="J52" s="1038"/>
      <c r="K52" s="1038"/>
    </row>
    <row r="53" spans="1:45" ht="15.75" x14ac:dyDescent="0.25">
      <c r="A53" s="159" t="s">
        <v>2968</v>
      </c>
      <c r="C53" s="54"/>
    </row>
    <row r="54" spans="1:45" ht="15.75" thickBot="1" x14ac:dyDescent="0.3">
      <c r="A54" s="88" t="s">
        <v>225</v>
      </c>
      <c r="B54" s="88" t="s">
        <v>2810</v>
      </c>
      <c r="C54" s="761">
        <v>2021</v>
      </c>
      <c r="D54" s="88">
        <v>2022</v>
      </c>
      <c r="E54" s="88">
        <v>2025</v>
      </c>
      <c r="F54" s="88">
        <v>2030</v>
      </c>
      <c r="G54" s="88">
        <v>2035</v>
      </c>
      <c r="H54" s="88">
        <v>2040</v>
      </c>
      <c r="I54" s="88">
        <v>2045</v>
      </c>
      <c r="J54" s="88">
        <v>2050</v>
      </c>
      <c r="K54" s="88" t="s">
        <v>2811</v>
      </c>
    </row>
    <row r="55" spans="1:45" ht="15.75" thickTop="1" x14ac:dyDescent="0.25">
      <c r="A55" t="s">
        <v>2812</v>
      </c>
      <c r="C55" s="54"/>
    </row>
    <row r="56" spans="1:45" x14ac:dyDescent="0.25">
      <c r="A56" s="75" t="s">
        <v>25</v>
      </c>
      <c r="B56" t="s">
        <v>2813</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2814</v>
      </c>
      <c r="B57" t="s">
        <v>2813</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2813</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2813</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2815</v>
      </c>
      <c r="C60" s="782"/>
      <c r="D60" s="60"/>
      <c r="E60" s="60"/>
      <c r="F60" s="60"/>
      <c r="G60" s="60"/>
      <c r="H60" s="60"/>
      <c r="I60" s="60"/>
      <c r="J60" s="60"/>
      <c r="K60" s="85"/>
    </row>
    <row r="61" spans="1:45" x14ac:dyDescent="0.25">
      <c r="A61" s="75" t="s">
        <v>25</v>
      </c>
      <c r="B61" t="s">
        <v>2813</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2814</v>
      </c>
      <c r="B62" t="s">
        <v>2813</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2816</v>
      </c>
      <c r="B63" t="s">
        <v>2813</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2813</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2813</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2817</v>
      </c>
      <c r="C66" s="782"/>
      <c r="D66" s="60"/>
      <c r="E66" s="60"/>
      <c r="F66" s="60"/>
      <c r="G66" s="60"/>
      <c r="H66" s="60"/>
      <c r="I66" s="60"/>
      <c r="J66" s="60"/>
      <c r="K66" s="85"/>
    </row>
    <row r="67" spans="1:11" x14ac:dyDescent="0.25">
      <c r="A67" s="75" t="s">
        <v>25</v>
      </c>
      <c r="B67" t="s">
        <v>2813</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2814</v>
      </c>
      <c r="B68" t="s">
        <v>2813</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2816</v>
      </c>
      <c r="B69" t="s">
        <v>2813</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2813</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2818</v>
      </c>
      <c r="B71" t="s">
        <v>2813</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2819</v>
      </c>
      <c r="B72" t="s">
        <v>2813</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2813</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2820</v>
      </c>
      <c r="C74" s="783"/>
      <c r="D74" s="60"/>
      <c r="E74" s="60"/>
      <c r="F74" s="60"/>
      <c r="G74" s="60"/>
      <c r="H74" s="60"/>
      <c r="I74" s="60"/>
      <c r="J74" s="60"/>
      <c r="K74" s="85"/>
    </row>
    <row r="75" spans="1:11" x14ac:dyDescent="0.25">
      <c r="A75" s="75" t="s">
        <v>25</v>
      </c>
      <c r="B75" t="s">
        <v>2813</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2813</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2813</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2821</v>
      </c>
      <c r="B78" t="s">
        <v>2813</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2822</v>
      </c>
      <c r="B79" t="s">
        <v>2813</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2816</v>
      </c>
      <c r="B80" t="s">
        <v>2813</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2813</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2813</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2823</v>
      </c>
      <c r="C83" s="782"/>
      <c r="D83" s="60"/>
      <c r="E83" s="60"/>
      <c r="F83" s="60"/>
      <c r="G83" s="60"/>
      <c r="H83" s="60"/>
      <c r="I83" s="60"/>
      <c r="J83" s="60"/>
      <c r="K83" s="85"/>
    </row>
    <row r="84" spans="1:11" x14ac:dyDescent="0.25">
      <c r="A84" s="75" t="s">
        <v>2814</v>
      </c>
      <c r="B84" t="s">
        <v>2813</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2816</v>
      </c>
      <c r="B85" t="s">
        <v>2813</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2813</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2824</v>
      </c>
      <c r="B87" t="s">
        <v>2813</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2825</v>
      </c>
      <c r="B88" t="s">
        <v>2813</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2837</v>
      </c>
    </row>
    <row r="91" spans="1:11" ht="15.75" x14ac:dyDescent="0.25">
      <c r="A91" s="159" t="s">
        <v>2967</v>
      </c>
      <c r="C91" s="54"/>
    </row>
    <row r="92" spans="1:11" ht="15.75" thickBot="1" x14ac:dyDescent="0.3">
      <c r="A92" s="88" t="s">
        <v>225</v>
      </c>
      <c r="B92" s="88" t="s">
        <v>2810</v>
      </c>
      <c r="C92" s="761">
        <v>2021</v>
      </c>
      <c r="D92" s="88">
        <v>2022</v>
      </c>
      <c r="E92" s="88">
        <v>2025</v>
      </c>
      <c r="F92" s="88">
        <v>2030</v>
      </c>
      <c r="G92" s="88">
        <v>2035</v>
      </c>
      <c r="H92" s="88">
        <v>2040</v>
      </c>
      <c r="I92" s="88">
        <v>2045</v>
      </c>
      <c r="J92" s="88">
        <v>2050</v>
      </c>
      <c r="K92" s="88" t="s">
        <v>2811</v>
      </c>
    </row>
    <row r="93" spans="1:11" ht="15.75" thickTop="1" x14ac:dyDescent="0.25">
      <c r="A93" t="s">
        <v>2966</v>
      </c>
      <c r="C93" s="54"/>
    </row>
    <row r="94" spans="1:11" x14ac:dyDescent="0.25">
      <c r="A94" s="75" t="s">
        <v>2955</v>
      </c>
      <c r="B94" t="s">
        <v>2956</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2957</v>
      </c>
      <c r="B95" t="s">
        <v>2956</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2958</v>
      </c>
      <c r="B96" t="s">
        <v>2956</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2959</v>
      </c>
      <c r="B97" t="s">
        <v>2956</v>
      </c>
      <c r="C97" s="782">
        <v>0</v>
      </c>
      <c r="D97" s="60">
        <v>0</v>
      </c>
      <c r="E97" s="60">
        <v>0</v>
      </c>
      <c r="F97" s="60">
        <v>0</v>
      </c>
      <c r="G97" s="60">
        <v>0</v>
      </c>
      <c r="H97" s="60">
        <v>0</v>
      </c>
      <c r="I97" s="60">
        <v>0</v>
      </c>
      <c r="J97" s="60">
        <v>0</v>
      </c>
      <c r="K97" s="85" t="s">
        <v>281</v>
      </c>
    </row>
    <row r="98" spans="1:11" x14ac:dyDescent="0.25">
      <c r="A98" s="75" t="s">
        <v>2960</v>
      </c>
      <c r="B98" t="s">
        <v>2956</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2961</v>
      </c>
      <c r="B99" t="s">
        <v>2956</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2962</v>
      </c>
      <c r="C100" s="782"/>
      <c r="D100" s="60"/>
      <c r="E100" s="60"/>
      <c r="F100" s="60"/>
      <c r="G100" s="60"/>
      <c r="H100" s="60"/>
      <c r="I100" s="60"/>
      <c r="J100" s="60"/>
      <c r="K100" s="85"/>
    </row>
    <row r="101" spans="1:11" x14ac:dyDescent="0.25">
      <c r="A101" s="75" t="s">
        <v>2955</v>
      </c>
      <c r="B101" t="s">
        <v>2956</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2957</v>
      </c>
      <c r="B102" t="s">
        <v>2956</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2958</v>
      </c>
      <c r="B103" t="s">
        <v>2956</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2959</v>
      </c>
      <c r="B104" t="s">
        <v>2956</v>
      </c>
      <c r="C104" s="782">
        <v>0</v>
      </c>
      <c r="D104" s="60">
        <v>0</v>
      </c>
      <c r="E104" s="60">
        <v>0</v>
      </c>
      <c r="F104" s="60">
        <v>0</v>
      </c>
      <c r="G104" s="60">
        <v>0</v>
      </c>
      <c r="H104" s="60">
        <v>0</v>
      </c>
      <c r="I104" s="60">
        <v>0</v>
      </c>
      <c r="J104" s="60">
        <v>0</v>
      </c>
      <c r="K104" s="85" t="s">
        <v>281</v>
      </c>
    </row>
    <row r="105" spans="1:11" x14ac:dyDescent="0.25">
      <c r="A105" s="75" t="s">
        <v>2960</v>
      </c>
      <c r="B105" t="s">
        <v>2956</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2961</v>
      </c>
      <c r="B106" t="s">
        <v>2956</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2821</v>
      </c>
      <c r="C107" s="782"/>
      <c r="D107" s="60"/>
      <c r="E107" s="60"/>
      <c r="F107" s="60"/>
      <c r="G107" s="60"/>
      <c r="H107" s="60"/>
      <c r="I107" s="60"/>
      <c r="J107" s="60"/>
      <c r="K107" s="85"/>
    </row>
    <row r="108" spans="1:11" x14ac:dyDescent="0.25">
      <c r="A108" s="75" t="s">
        <v>2955</v>
      </c>
      <c r="B108" t="s">
        <v>2956</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2957</v>
      </c>
      <c r="B109" t="s">
        <v>2956</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2958</v>
      </c>
      <c r="B110" t="s">
        <v>2956</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2959</v>
      </c>
      <c r="B111" t="s">
        <v>2956</v>
      </c>
      <c r="C111" s="782">
        <v>0</v>
      </c>
      <c r="D111" s="60">
        <v>0</v>
      </c>
      <c r="E111" s="60">
        <v>0</v>
      </c>
      <c r="F111" s="60">
        <v>0</v>
      </c>
      <c r="G111" s="60">
        <v>0</v>
      </c>
      <c r="H111" s="60">
        <v>0</v>
      </c>
      <c r="I111" s="60">
        <v>0</v>
      </c>
      <c r="J111" s="60">
        <v>0</v>
      </c>
      <c r="K111" s="85" t="s">
        <v>281</v>
      </c>
    </row>
    <row r="112" spans="1:11" x14ac:dyDescent="0.25">
      <c r="A112" s="75" t="s">
        <v>2960</v>
      </c>
      <c r="B112" t="s">
        <v>2956</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2961</v>
      </c>
      <c r="B113" t="s">
        <v>2956</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2963</v>
      </c>
      <c r="C114" s="782"/>
      <c r="D114" s="60"/>
      <c r="E114" s="60"/>
      <c r="F114" s="60"/>
      <c r="G114" s="60"/>
      <c r="H114" s="60"/>
      <c r="I114" s="60"/>
      <c r="J114" s="60"/>
      <c r="K114" s="85"/>
    </row>
    <row r="115" spans="1:11" x14ac:dyDescent="0.25">
      <c r="A115" s="75" t="s">
        <v>2955</v>
      </c>
      <c r="B115" t="s">
        <v>2956</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2959</v>
      </c>
      <c r="B116" t="s">
        <v>2956</v>
      </c>
      <c r="C116" s="782">
        <v>0</v>
      </c>
      <c r="D116" s="60">
        <v>0</v>
      </c>
      <c r="E116" s="60">
        <v>0</v>
      </c>
      <c r="F116" s="60">
        <v>0</v>
      </c>
      <c r="G116" s="60">
        <v>0</v>
      </c>
      <c r="H116" s="60">
        <v>0</v>
      </c>
      <c r="I116" s="60">
        <v>0</v>
      </c>
      <c r="J116" s="60">
        <v>0</v>
      </c>
      <c r="K116" s="85" t="s">
        <v>281</v>
      </c>
    </row>
    <row r="117" spans="1:11" x14ac:dyDescent="0.25">
      <c r="A117" s="75" t="s">
        <v>2960</v>
      </c>
      <c r="B117" t="s">
        <v>2956</v>
      </c>
      <c r="C117" s="782">
        <v>0</v>
      </c>
      <c r="D117" s="60">
        <v>0</v>
      </c>
      <c r="E117" s="60">
        <v>0</v>
      </c>
      <c r="F117" s="60">
        <v>0</v>
      </c>
      <c r="G117" s="60">
        <v>0</v>
      </c>
      <c r="H117" s="60">
        <v>0</v>
      </c>
      <c r="I117" s="60">
        <v>0</v>
      </c>
      <c r="J117" s="60">
        <v>0</v>
      </c>
      <c r="K117" s="85" t="s">
        <v>281</v>
      </c>
    </row>
    <row r="118" spans="1:11" x14ac:dyDescent="0.25">
      <c r="A118" s="75" t="s">
        <v>2961</v>
      </c>
      <c r="B118" t="s">
        <v>2956</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2964</v>
      </c>
      <c r="B119" t="s">
        <v>2956</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2965</v>
      </c>
      <c r="B120" t="s">
        <v>2956</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2837</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2316</v>
      </c>
      <c r="E1" s="106" t="s">
        <v>2938</v>
      </c>
    </row>
    <row r="2" spans="1:43" x14ac:dyDescent="0.25">
      <c r="A2" s="1038" t="s">
        <v>505</v>
      </c>
      <c r="B2" s="1038"/>
      <c r="C2" s="1038"/>
      <c r="D2" s="1038"/>
      <c r="E2" s="1"/>
      <c r="G2" s="1038" t="s">
        <v>506</v>
      </c>
      <c r="H2" s="1038"/>
      <c r="I2" s="1038"/>
      <c r="J2" s="1038"/>
      <c r="M2" s="1038" t="s">
        <v>507</v>
      </c>
      <c r="N2" s="1038"/>
      <c r="O2" s="1038"/>
      <c r="P2" s="1038"/>
      <c r="S2" s="1038" t="s">
        <v>520</v>
      </c>
      <c r="T2" s="1038"/>
      <c r="U2" s="1038"/>
      <c r="V2" s="1038"/>
      <c r="Y2" s="1038" t="s">
        <v>508</v>
      </c>
      <c r="Z2" s="1038"/>
      <c r="AA2" s="1038"/>
      <c r="AB2" s="1038"/>
      <c r="AE2" s="1038" t="s">
        <v>496</v>
      </c>
      <c r="AF2" s="1038"/>
      <c r="AG2" s="1038"/>
      <c r="AH2" s="1038"/>
      <c r="AK2" s="1117" t="s">
        <v>514</v>
      </c>
      <c r="AL2" s="1117"/>
      <c r="AM2" s="1117"/>
      <c r="AN2" s="1117"/>
      <c r="AO2" s="1117"/>
      <c r="AP2" s="1117"/>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3045</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46" t="s">
        <v>3043</v>
      </c>
      <c r="AL20" s="1146"/>
      <c r="AM20" s="1146"/>
      <c r="AN20" s="1146"/>
      <c r="AO20" s="1146"/>
      <c r="AP20" s="1146"/>
      <c r="AQ20" s="1146"/>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46"/>
      <c r="AL21" s="1146"/>
      <c r="AM21" s="1146"/>
      <c r="AN21" s="1146"/>
      <c r="AO21" s="1146"/>
      <c r="AP21" s="1146"/>
      <c r="AQ21" s="1146"/>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46"/>
      <c r="AL22" s="1146"/>
      <c r="AM22" s="1146"/>
      <c r="AN22" s="1146"/>
      <c r="AO22" s="1146"/>
      <c r="AP22" s="1146"/>
      <c r="AQ22" s="1146"/>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40" t="s">
        <v>1943</v>
      </c>
      <c r="B37" s="1141"/>
      <c r="C37" s="1141"/>
      <c r="D37" s="1142"/>
      <c r="E37" s="194"/>
      <c r="G37" t="s">
        <v>475</v>
      </c>
      <c r="I37" s="71">
        <v>21.810416666666601</v>
      </c>
      <c r="J37" s="71">
        <v>348.979166666666</v>
      </c>
      <c r="K37" s="29" t="e">
        <f t="shared" si="13"/>
        <v>#N/A</v>
      </c>
    </row>
    <row r="38" spans="1:19" ht="14.45" customHeight="1" x14ac:dyDescent="0.25">
      <c r="A38" s="1143"/>
      <c r="B38" s="1144"/>
      <c r="C38" s="1144"/>
      <c r="D38" s="1145"/>
      <c r="E38" s="194"/>
      <c r="G38" t="s">
        <v>475</v>
      </c>
      <c r="I38" s="71">
        <v>16.001724137930999</v>
      </c>
      <c r="J38" s="71">
        <v>368.17241379310298</v>
      </c>
      <c r="K38" s="29" t="e">
        <f t="shared" si="13"/>
        <v>#N/A</v>
      </c>
    </row>
    <row r="39" spans="1:19" ht="14.45" customHeight="1" x14ac:dyDescent="0.25">
      <c r="A39" s="1143"/>
      <c r="B39" s="1144"/>
      <c r="C39" s="1144"/>
      <c r="D39" s="1145"/>
      <c r="E39" s="194"/>
      <c r="G39" t="s">
        <v>476</v>
      </c>
      <c r="H39" t="s">
        <v>240</v>
      </c>
      <c r="I39" s="71">
        <v>23.754385964912199</v>
      </c>
      <c r="J39" s="71">
        <v>380.15789473684202</v>
      </c>
      <c r="K39" s="29">
        <f t="shared" si="13"/>
        <v>3.3769184854023297E-2</v>
      </c>
    </row>
    <row r="40" spans="1:19" ht="14.45" customHeight="1" x14ac:dyDescent="0.25">
      <c r="A40" s="1085" t="s">
        <v>2130</v>
      </c>
      <c r="B40" s="1086"/>
      <c r="C40" s="1086"/>
      <c r="D40" s="1087"/>
      <c r="E40" s="350"/>
      <c r="G40" t="s">
        <v>476</v>
      </c>
      <c r="H40" t="s">
        <v>108</v>
      </c>
      <c r="I40" s="71">
        <v>17.670491803278601</v>
      </c>
      <c r="J40" s="71">
        <v>406.44262295081899</v>
      </c>
      <c r="K40" s="29">
        <f t="shared" si="13"/>
        <v>3.3769184854023297E-2</v>
      </c>
    </row>
    <row r="41" spans="1:19" ht="15.75" thickBot="1" x14ac:dyDescent="0.3">
      <c r="A41" s="1088"/>
      <c r="B41" s="1089"/>
      <c r="C41" s="1089"/>
      <c r="D41" s="1090"/>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3054</v>
      </c>
      <c r="I1" s="1148" t="s">
        <v>915</v>
      </c>
      <c r="J1" s="1148"/>
      <c r="K1" s="1148"/>
      <c r="L1" s="1148"/>
      <c r="M1" s="1148"/>
      <c r="N1" s="1148"/>
      <c r="O1" s="1148"/>
      <c r="P1" s="1148"/>
      <c r="Q1" s="1148"/>
      <c r="R1" s="1148"/>
      <c r="S1" s="1148"/>
      <c r="T1" s="1148"/>
      <c r="U1" s="1148"/>
      <c r="V1" s="1148"/>
      <c r="W1" s="1148"/>
      <c r="X1" s="1148"/>
      <c r="Y1" s="1148"/>
      <c r="Z1" s="1148"/>
      <c r="AA1" s="1148"/>
      <c r="AB1" s="1148"/>
      <c r="AC1" s="1147" t="s">
        <v>3953</v>
      </c>
      <c r="AD1" s="1147"/>
      <c r="AE1" s="1147"/>
      <c r="AF1" s="1147"/>
      <c r="AH1" s="1038" t="s">
        <v>3028</v>
      </c>
      <c r="AI1" s="1038"/>
      <c r="AJ1" s="1038"/>
      <c r="AK1" s="1038"/>
      <c r="AL1" s="1038"/>
      <c r="AM1" s="1038"/>
      <c r="AN1" s="1038"/>
      <c r="AO1" s="1038"/>
      <c r="AT1" s="28" t="s">
        <v>4042</v>
      </c>
      <c r="AW1" s="28" t="s">
        <v>4044</v>
      </c>
    </row>
    <row r="2" spans="1:50" s="210" customFormat="1" ht="90.75" thickBot="1" x14ac:dyDescent="0.3">
      <c r="A2" s="207" t="s">
        <v>878</v>
      </c>
      <c r="B2" s="207" t="s">
        <v>901</v>
      </c>
      <c r="C2" s="207" t="s">
        <v>879</v>
      </c>
      <c r="D2" s="207" t="s">
        <v>464</v>
      </c>
      <c r="E2" s="207" t="s">
        <v>880</v>
      </c>
      <c r="F2" s="793" t="s">
        <v>4838</v>
      </c>
      <c r="G2" s="793" t="s">
        <v>1462</v>
      </c>
      <c r="H2" s="793" t="s">
        <v>3002</v>
      </c>
      <c r="I2" s="794" t="s">
        <v>3003</v>
      </c>
      <c r="J2" s="794" t="s">
        <v>3004</v>
      </c>
      <c r="K2" s="794" t="s">
        <v>3005</v>
      </c>
      <c r="L2" s="794" t="s">
        <v>3022</v>
      </c>
      <c r="M2" s="794" t="s">
        <v>3006</v>
      </c>
      <c r="N2" s="794" t="s">
        <v>3007</v>
      </c>
      <c r="O2" s="794" t="s">
        <v>3008</v>
      </c>
      <c r="P2" s="794" t="s">
        <v>3009</v>
      </c>
      <c r="Q2" s="794" t="s">
        <v>3010</v>
      </c>
      <c r="R2" s="794" t="s">
        <v>3011</v>
      </c>
      <c r="S2" s="794" t="s">
        <v>3012</v>
      </c>
      <c r="T2" s="794" t="s">
        <v>3013</v>
      </c>
      <c r="U2" s="794" t="s">
        <v>3014</v>
      </c>
      <c r="V2" s="794" t="s">
        <v>3015</v>
      </c>
      <c r="W2" s="794" t="s">
        <v>3016</v>
      </c>
      <c r="X2" s="794" t="s">
        <v>3017</v>
      </c>
      <c r="Y2" s="794" t="s">
        <v>3018</v>
      </c>
      <c r="Z2" s="794" t="s">
        <v>3019</v>
      </c>
      <c r="AA2" s="794" t="s">
        <v>3020</v>
      </c>
      <c r="AB2" s="208" t="s">
        <v>3021</v>
      </c>
      <c r="AC2" s="209" t="s">
        <v>3024</v>
      </c>
      <c r="AD2" s="209" t="s">
        <v>3023</v>
      </c>
      <c r="AE2" s="209" t="s">
        <v>3025</v>
      </c>
      <c r="AF2" s="209" t="s">
        <v>3026</v>
      </c>
      <c r="AG2" s="211"/>
      <c r="AH2" s="210" t="s">
        <v>927</v>
      </c>
      <c r="AI2" s="210" t="s">
        <v>3027</v>
      </c>
      <c r="AJ2" s="210" t="s">
        <v>917</v>
      </c>
      <c r="AK2" s="210" t="s">
        <v>916</v>
      </c>
      <c r="AL2" s="210" t="s">
        <v>918</v>
      </c>
      <c r="AM2" s="210" t="s">
        <v>919</v>
      </c>
      <c r="AN2" s="210" t="s">
        <v>920</v>
      </c>
      <c r="AO2" s="210" t="s">
        <v>921</v>
      </c>
      <c r="AQ2" s="215" t="s">
        <v>4043</v>
      </c>
      <c r="AR2" s="215" t="s">
        <v>926</v>
      </c>
      <c r="AT2" s="88" t="s">
        <v>123</v>
      </c>
      <c r="AU2" s="88" t="s">
        <v>920</v>
      </c>
      <c r="AW2" s="88" t="s">
        <v>123</v>
      </c>
      <c r="AX2" s="88" t="s">
        <v>920</v>
      </c>
    </row>
    <row r="3" spans="1:50" ht="16.5" thickTop="1" thickBot="1" x14ac:dyDescent="0.3">
      <c r="A3" t="s">
        <v>2997</v>
      </c>
      <c r="B3">
        <v>2023</v>
      </c>
      <c r="C3" t="s">
        <v>766</v>
      </c>
      <c r="D3" t="s">
        <v>482</v>
      </c>
      <c r="E3" t="s">
        <v>2998</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2997</v>
      </c>
      <c r="B4">
        <v>2023</v>
      </c>
      <c r="C4" t="s">
        <v>766</v>
      </c>
      <c r="D4" t="s">
        <v>1473</v>
      </c>
      <c r="E4" t="s">
        <v>2998</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2997</v>
      </c>
      <c r="B5">
        <v>2023</v>
      </c>
      <c r="C5" t="s">
        <v>766</v>
      </c>
      <c r="D5" t="s">
        <v>1476</v>
      </c>
      <c r="E5" t="s">
        <v>2998</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2997</v>
      </c>
      <c r="B6">
        <v>2023</v>
      </c>
      <c r="C6" t="s">
        <v>766</v>
      </c>
      <c r="D6" t="s">
        <v>930</v>
      </c>
      <c r="E6" t="s">
        <v>2998</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2997</v>
      </c>
      <c r="B7">
        <v>2023</v>
      </c>
      <c r="C7" t="s">
        <v>766</v>
      </c>
      <c r="D7" t="s">
        <v>1475</v>
      </c>
      <c r="E7" t="s">
        <v>2998</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2997</v>
      </c>
      <c r="B8">
        <v>2025</v>
      </c>
      <c r="C8" t="s">
        <v>766</v>
      </c>
      <c r="D8" t="s">
        <v>482</v>
      </c>
      <c r="E8" t="s">
        <v>2998</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2997</v>
      </c>
      <c r="B9">
        <v>2025</v>
      </c>
      <c r="C9" t="s">
        <v>766</v>
      </c>
      <c r="D9" t="s">
        <v>1473</v>
      </c>
      <c r="E9" t="s">
        <v>2998</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2997</v>
      </c>
      <c r="B10">
        <v>2025</v>
      </c>
      <c r="C10" t="s">
        <v>766</v>
      </c>
      <c r="D10" t="s">
        <v>1476</v>
      </c>
      <c r="E10" t="s">
        <v>2998</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2997</v>
      </c>
      <c r="B11">
        <v>2025</v>
      </c>
      <c r="C11" t="s">
        <v>766</v>
      </c>
      <c r="D11" t="s">
        <v>930</v>
      </c>
      <c r="E11" t="s">
        <v>2998</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2997</v>
      </c>
      <c r="B12">
        <v>2025</v>
      </c>
      <c r="C12" t="s">
        <v>766</v>
      </c>
      <c r="D12" t="s">
        <v>1475</v>
      </c>
      <c r="E12" t="s">
        <v>2998</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2997</v>
      </c>
      <c r="B13">
        <v>2030</v>
      </c>
      <c r="C13" t="s">
        <v>766</v>
      </c>
      <c r="D13" t="s">
        <v>482</v>
      </c>
      <c r="E13" t="s">
        <v>2998</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2997</v>
      </c>
      <c r="B14">
        <v>2030</v>
      </c>
      <c r="C14" t="s">
        <v>766</v>
      </c>
      <c r="D14" t="s">
        <v>1473</v>
      </c>
      <c r="E14" t="s">
        <v>2998</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2997</v>
      </c>
      <c r="B15">
        <v>2030</v>
      </c>
      <c r="C15" t="s">
        <v>766</v>
      </c>
      <c r="D15" t="s">
        <v>1476</v>
      </c>
      <c r="E15" t="s">
        <v>2998</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2997</v>
      </c>
      <c r="B16">
        <v>2030</v>
      </c>
      <c r="C16" t="s">
        <v>766</v>
      </c>
      <c r="D16" t="s">
        <v>930</v>
      </c>
      <c r="E16" t="s">
        <v>2998</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2997</v>
      </c>
      <c r="B17">
        <v>2030</v>
      </c>
      <c r="C17" t="s">
        <v>766</v>
      </c>
      <c r="D17" t="s">
        <v>1475</v>
      </c>
      <c r="E17" t="s">
        <v>2998</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2997</v>
      </c>
      <c r="B18">
        <v>2035</v>
      </c>
      <c r="C18" t="s">
        <v>766</v>
      </c>
      <c r="D18" t="s">
        <v>482</v>
      </c>
      <c r="E18" t="s">
        <v>2998</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2997</v>
      </c>
      <c r="B19">
        <v>2035</v>
      </c>
      <c r="C19" t="s">
        <v>766</v>
      </c>
      <c r="D19" t="s">
        <v>1473</v>
      </c>
      <c r="E19" t="s">
        <v>2998</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2997</v>
      </c>
      <c r="B20">
        <v>2035</v>
      </c>
      <c r="C20" t="s">
        <v>766</v>
      </c>
      <c r="D20" t="s">
        <v>1476</v>
      </c>
      <c r="E20" t="s">
        <v>2998</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2997</v>
      </c>
      <c r="B21">
        <v>2035</v>
      </c>
      <c r="C21" t="s">
        <v>766</v>
      </c>
      <c r="D21" t="s">
        <v>930</v>
      </c>
      <c r="E21" t="s">
        <v>2998</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2997</v>
      </c>
      <c r="B22">
        <v>2035</v>
      </c>
      <c r="C22" t="s">
        <v>766</v>
      </c>
      <c r="D22" t="s">
        <v>1475</v>
      </c>
      <c r="E22" t="s">
        <v>2998</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2997</v>
      </c>
      <c r="B23">
        <v>2050</v>
      </c>
      <c r="C23" t="s">
        <v>766</v>
      </c>
      <c r="D23" t="s">
        <v>482</v>
      </c>
      <c r="E23" t="s">
        <v>2998</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2997</v>
      </c>
      <c r="B24">
        <v>2050</v>
      </c>
      <c r="C24" t="s">
        <v>766</v>
      </c>
      <c r="D24" t="s">
        <v>1473</v>
      </c>
      <c r="E24" t="s">
        <v>2998</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2997</v>
      </c>
      <c r="B25">
        <v>2050</v>
      </c>
      <c r="C25" t="s">
        <v>766</v>
      </c>
      <c r="D25" t="s">
        <v>1476</v>
      </c>
      <c r="E25" t="s">
        <v>2998</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2997</v>
      </c>
      <c r="B26">
        <v>2050</v>
      </c>
      <c r="C26" t="s">
        <v>766</v>
      </c>
      <c r="D26" t="s">
        <v>930</v>
      </c>
      <c r="E26" t="s">
        <v>2998</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2997</v>
      </c>
      <c r="B27">
        <v>2050</v>
      </c>
      <c r="C27" t="s">
        <v>766</v>
      </c>
      <c r="D27" t="s">
        <v>1475</v>
      </c>
      <c r="E27" t="s">
        <v>2998</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2998</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2998</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2998</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2998</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2998</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2998</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2998</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2998</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2998</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2998</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2998</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2998</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2998</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2998</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2998</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2998</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2998</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2998</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2998</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2998</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2998</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2998</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2998</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2998</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2998</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2998</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2998</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2998</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2998</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2998</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2998</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2998</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2998</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2998</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2998</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2998</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2998</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2998</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2998</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2998</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2998</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2998</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2998</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2998</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2998</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2998</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2998</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2998</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2998</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2998</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2998</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2998</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2998</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2998</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2998</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2998</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2998</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2998</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2998</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2998</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2998</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2998</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2998</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2998</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2998</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2998</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2998</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2998</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2998</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2998</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2998</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2998</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2998</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2998</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2998</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2998</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2998</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2998</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2998</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2998</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2998</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2998</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2998</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2998</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2998</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2998</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2998</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2998</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2998</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2998</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2998</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2998</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2998</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2998</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2998</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2998</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2998</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2998</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2998</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2998</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2998</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2998</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2998</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2998</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2998</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2998</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2998</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2998</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2998</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2998</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2998</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2998</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2998</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2998</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2998</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2998</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2998</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2998</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2998</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2998</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2998</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2998</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2998</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2998</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2998</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2998</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2998</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2998</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2998</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2998</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2998</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2998</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2998</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2998</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2998</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2998</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2998</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2998</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2998</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2998</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2998</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2998</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2998</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2998</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2998</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2998</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2998</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2998</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2998</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2998</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2999</v>
      </c>
      <c r="B178">
        <v>2023</v>
      </c>
      <c r="C178" t="s">
        <v>766</v>
      </c>
      <c r="D178" t="s">
        <v>482</v>
      </c>
      <c r="E178" t="s">
        <v>2998</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2999</v>
      </c>
      <c r="B179">
        <v>2023</v>
      </c>
      <c r="C179" t="s">
        <v>766</v>
      </c>
      <c r="D179" t="s">
        <v>1473</v>
      </c>
      <c r="E179" t="s">
        <v>2998</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2999</v>
      </c>
      <c r="B180">
        <v>2023</v>
      </c>
      <c r="C180" t="s">
        <v>766</v>
      </c>
      <c r="D180" t="s">
        <v>1476</v>
      </c>
      <c r="E180" t="s">
        <v>2998</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2999</v>
      </c>
      <c r="B181">
        <v>2023</v>
      </c>
      <c r="C181" t="s">
        <v>766</v>
      </c>
      <c r="D181" t="s">
        <v>930</v>
      </c>
      <c r="E181" t="s">
        <v>2998</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2999</v>
      </c>
      <c r="B182">
        <v>2023</v>
      </c>
      <c r="C182" t="s">
        <v>766</v>
      </c>
      <c r="D182" t="s">
        <v>1475</v>
      </c>
      <c r="E182" t="s">
        <v>2998</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2999</v>
      </c>
      <c r="B183">
        <v>2025</v>
      </c>
      <c r="C183" t="s">
        <v>766</v>
      </c>
      <c r="D183" t="s">
        <v>482</v>
      </c>
      <c r="E183" t="s">
        <v>2998</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2999</v>
      </c>
      <c r="B184">
        <v>2025</v>
      </c>
      <c r="C184" t="s">
        <v>766</v>
      </c>
      <c r="D184" t="s">
        <v>1473</v>
      </c>
      <c r="E184" t="s">
        <v>2998</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2999</v>
      </c>
      <c r="B185">
        <v>2025</v>
      </c>
      <c r="C185" t="s">
        <v>766</v>
      </c>
      <c r="D185" t="s">
        <v>1476</v>
      </c>
      <c r="E185" t="s">
        <v>2998</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2999</v>
      </c>
      <c r="B186">
        <v>2025</v>
      </c>
      <c r="C186" t="s">
        <v>766</v>
      </c>
      <c r="D186" t="s">
        <v>930</v>
      </c>
      <c r="E186" t="s">
        <v>2998</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2999</v>
      </c>
      <c r="B187">
        <v>2025</v>
      </c>
      <c r="C187" t="s">
        <v>766</v>
      </c>
      <c r="D187" t="s">
        <v>1475</v>
      </c>
      <c r="E187" t="s">
        <v>2998</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2999</v>
      </c>
      <c r="B188">
        <v>2030</v>
      </c>
      <c r="C188" t="s">
        <v>766</v>
      </c>
      <c r="D188" t="s">
        <v>482</v>
      </c>
      <c r="E188" t="s">
        <v>2998</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2999</v>
      </c>
      <c r="B189">
        <v>2030</v>
      </c>
      <c r="C189" t="s">
        <v>766</v>
      </c>
      <c r="D189" t="s">
        <v>1473</v>
      </c>
      <c r="E189" t="s">
        <v>2998</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2999</v>
      </c>
      <c r="B190">
        <v>2030</v>
      </c>
      <c r="C190" t="s">
        <v>766</v>
      </c>
      <c r="D190" t="s">
        <v>1476</v>
      </c>
      <c r="E190" t="s">
        <v>2998</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2999</v>
      </c>
      <c r="B191">
        <v>2030</v>
      </c>
      <c r="C191" t="s">
        <v>766</v>
      </c>
      <c r="D191" t="s">
        <v>930</v>
      </c>
      <c r="E191" t="s">
        <v>2998</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2999</v>
      </c>
      <c r="B192">
        <v>2030</v>
      </c>
      <c r="C192" t="s">
        <v>766</v>
      </c>
      <c r="D192" t="s">
        <v>1475</v>
      </c>
      <c r="E192" t="s">
        <v>2998</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2999</v>
      </c>
      <c r="B193">
        <v>2035</v>
      </c>
      <c r="C193" t="s">
        <v>766</v>
      </c>
      <c r="D193" t="s">
        <v>482</v>
      </c>
      <c r="E193" t="s">
        <v>2998</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2999</v>
      </c>
      <c r="B194">
        <v>2035</v>
      </c>
      <c r="C194" t="s">
        <v>766</v>
      </c>
      <c r="D194" t="s">
        <v>1473</v>
      </c>
      <c r="E194" t="s">
        <v>2998</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2999</v>
      </c>
      <c r="B195">
        <v>2035</v>
      </c>
      <c r="C195" t="s">
        <v>766</v>
      </c>
      <c r="D195" t="s">
        <v>1476</v>
      </c>
      <c r="E195" t="s">
        <v>2998</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2999</v>
      </c>
      <c r="B196">
        <v>2035</v>
      </c>
      <c r="C196" t="s">
        <v>766</v>
      </c>
      <c r="D196" t="s">
        <v>930</v>
      </c>
      <c r="E196" t="s">
        <v>2998</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2999</v>
      </c>
      <c r="B197">
        <v>2035</v>
      </c>
      <c r="C197" t="s">
        <v>766</v>
      </c>
      <c r="D197" t="s">
        <v>1475</v>
      </c>
      <c r="E197" t="s">
        <v>2998</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2999</v>
      </c>
      <c r="B198">
        <v>2050</v>
      </c>
      <c r="C198" t="s">
        <v>766</v>
      </c>
      <c r="D198" t="s">
        <v>482</v>
      </c>
      <c r="E198" t="s">
        <v>2998</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2999</v>
      </c>
      <c r="B199">
        <v>2050</v>
      </c>
      <c r="C199" t="s">
        <v>766</v>
      </c>
      <c r="D199" t="s">
        <v>1473</v>
      </c>
      <c r="E199" t="s">
        <v>2998</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2999</v>
      </c>
      <c r="B200">
        <v>2050</v>
      </c>
      <c r="C200" t="s">
        <v>766</v>
      </c>
      <c r="D200" t="s">
        <v>1476</v>
      </c>
      <c r="E200" t="s">
        <v>2998</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2999</v>
      </c>
      <c r="B201">
        <v>2050</v>
      </c>
      <c r="C201" t="s">
        <v>766</v>
      </c>
      <c r="D201" t="s">
        <v>930</v>
      </c>
      <c r="E201" t="s">
        <v>2998</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2999</v>
      </c>
      <c r="B202">
        <v>2050</v>
      </c>
      <c r="C202" t="s">
        <v>766</v>
      </c>
      <c r="D202" t="s">
        <v>1475</v>
      </c>
      <c r="E202" t="s">
        <v>2998</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3000</v>
      </c>
      <c r="B203">
        <v>2023</v>
      </c>
      <c r="C203" t="s">
        <v>766</v>
      </c>
      <c r="D203" t="s">
        <v>482</v>
      </c>
      <c r="E203" t="s">
        <v>2998</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3000</v>
      </c>
      <c r="B204">
        <v>2023</v>
      </c>
      <c r="C204" t="s">
        <v>766</v>
      </c>
      <c r="D204" t="s">
        <v>1473</v>
      </c>
      <c r="E204" t="s">
        <v>2998</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3000</v>
      </c>
      <c r="B205">
        <v>2023</v>
      </c>
      <c r="C205" t="s">
        <v>766</v>
      </c>
      <c r="D205" t="s">
        <v>1476</v>
      </c>
      <c r="E205" t="s">
        <v>2998</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3000</v>
      </c>
      <c r="B206">
        <v>2023</v>
      </c>
      <c r="C206" t="s">
        <v>766</v>
      </c>
      <c r="D206" t="s">
        <v>930</v>
      </c>
      <c r="E206" t="s">
        <v>2998</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3000</v>
      </c>
      <c r="B207">
        <v>2023</v>
      </c>
      <c r="C207" t="s">
        <v>766</v>
      </c>
      <c r="D207" t="s">
        <v>1475</v>
      </c>
      <c r="E207" t="s">
        <v>2998</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3000</v>
      </c>
      <c r="B208">
        <v>2025</v>
      </c>
      <c r="C208" t="s">
        <v>766</v>
      </c>
      <c r="D208" t="s">
        <v>482</v>
      </c>
      <c r="E208" t="s">
        <v>2998</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3000</v>
      </c>
      <c r="B209">
        <v>2025</v>
      </c>
      <c r="C209" t="s">
        <v>766</v>
      </c>
      <c r="D209" t="s">
        <v>1473</v>
      </c>
      <c r="E209" t="s">
        <v>2998</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3000</v>
      </c>
      <c r="B210">
        <v>2025</v>
      </c>
      <c r="C210" t="s">
        <v>766</v>
      </c>
      <c r="D210" t="s">
        <v>1476</v>
      </c>
      <c r="E210" t="s">
        <v>2998</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3000</v>
      </c>
      <c r="B211">
        <v>2025</v>
      </c>
      <c r="C211" t="s">
        <v>766</v>
      </c>
      <c r="D211" t="s">
        <v>930</v>
      </c>
      <c r="E211" t="s">
        <v>2998</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3000</v>
      </c>
      <c r="B212">
        <v>2025</v>
      </c>
      <c r="C212" t="s">
        <v>766</v>
      </c>
      <c r="D212" t="s">
        <v>1475</v>
      </c>
      <c r="E212" t="s">
        <v>2998</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3000</v>
      </c>
      <c r="B213">
        <v>2030</v>
      </c>
      <c r="C213" t="s">
        <v>766</v>
      </c>
      <c r="D213" t="s">
        <v>482</v>
      </c>
      <c r="E213" t="s">
        <v>2998</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3000</v>
      </c>
      <c r="B214">
        <v>2030</v>
      </c>
      <c r="C214" t="s">
        <v>766</v>
      </c>
      <c r="D214" t="s">
        <v>1473</v>
      </c>
      <c r="E214" t="s">
        <v>2998</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3000</v>
      </c>
      <c r="B215">
        <v>2030</v>
      </c>
      <c r="C215" t="s">
        <v>766</v>
      </c>
      <c r="D215" t="s">
        <v>1476</v>
      </c>
      <c r="E215" t="s">
        <v>2998</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3000</v>
      </c>
      <c r="B216">
        <v>2030</v>
      </c>
      <c r="C216" t="s">
        <v>766</v>
      </c>
      <c r="D216" t="s">
        <v>930</v>
      </c>
      <c r="E216" t="s">
        <v>2998</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3000</v>
      </c>
      <c r="B217">
        <v>2030</v>
      </c>
      <c r="C217" t="s">
        <v>766</v>
      </c>
      <c r="D217" t="s">
        <v>1475</v>
      </c>
      <c r="E217" t="s">
        <v>2998</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3000</v>
      </c>
      <c r="B218">
        <v>2035</v>
      </c>
      <c r="C218" t="s">
        <v>766</v>
      </c>
      <c r="D218" t="s">
        <v>482</v>
      </c>
      <c r="E218" t="s">
        <v>2998</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3000</v>
      </c>
      <c r="B219">
        <v>2035</v>
      </c>
      <c r="C219" t="s">
        <v>766</v>
      </c>
      <c r="D219" t="s">
        <v>1473</v>
      </c>
      <c r="E219" t="s">
        <v>2998</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3000</v>
      </c>
      <c r="B220">
        <v>2035</v>
      </c>
      <c r="C220" t="s">
        <v>766</v>
      </c>
      <c r="D220" t="s">
        <v>1476</v>
      </c>
      <c r="E220" t="s">
        <v>2998</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3000</v>
      </c>
      <c r="B221">
        <v>2035</v>
      </c>
      <c r="C221" t="s">
        <v>766</v>
      </c>
      <c r="D221" t="s">
        <v>930</v>
      </c>
      <c r="E221" t="s">
        <v>2998</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3000</v>
      </c>
      <c r="B222">
        <v>2035</v>
      </c>
      <c r="C222" t="s">
        <v>766</v>
      </c>
      <c r="D222" t="s">
        <v>1475</v>
      </c>
      <c r="E222" t="s">
        <v>2998</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3000</v>
      </c>
      <c r="B223">
        <v>2050</v>
      </c>
      <c r="C223" t="s">
        <v>766</v>
      </c>
      <c r="D223" t="s">
        <v>482</v>
      </c>
      <c r="E223" t="s">
        <v>2998</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3000</v>
      </c>
      <c r="B224">
        <v>2050</v>
      </c>
      <c r="C224" t="s">
        <v>766</v>
      </c>
      <c r="D224" t="s">
        <v>1473</v>
      </c>
      <c r="E224" t="s">
        <v>2998</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3000</v>
      </c>
      <c r="B225">
        <v>2050</v>
      </c>
      <c r="C225" t="s">
        <v>766</v>
      </c>
      <c r="D225" t="s">
        <v>1476</v>
      </c>
      <c r="E225" t="s">
        <v>2998</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3000</v>
      </c>
      <c r="B226">
        <v>2050</v>
      </c>
      <c r="C226" t="s">
        <v>766</v>
      </c>
      <c r="D226" t="s">
        <v>930</v>
      </c>
      <c r="E226" t="s">
        <v>2998</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3000</v>
      </c>
      <c r="B227">
        <v>2050</v>
      </c>
      <c r="C227" t="s">
        <v>766</v>
      </c>
      <c r="D227" t="s">
        <v>1475</v>
      </c>
      <c r="E227" t="s">
        <v>2998</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2998</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2998</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2998</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2998</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2998</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2998</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2998</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2998</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2998</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2998</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2998</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2998</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2998</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2998</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2998</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2998</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2998</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2998</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2998</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2998</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2998</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2998</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2998</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2998</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2998</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3001</v>
      </c>
      <c r="B253">
        <v>2023</v>
      </c>
      <c r="C253" t="s">
        <v>766</v>
      </c>
      <c r="D253" t="s">
        <v>482</v>
      </c>
      <c r="E253" t="s">
        <v>2998</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3001</v>
      </c>
      <c r="B254">
        <v>2023</v>
      </c>
      <c r="C254" t="s">
        <v>766</v>
      </c>
      <c r="D254" t="s">
        <v>1473</v>
      </c>
      <c r="E254" t="s">
        <v>2998</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3001</v>
      </c>
      <c r="B255">
        <v>2023</v>
      </c>
      <c r="C255" t="s">
        <v>766</v>
      </c>
      <c r="D255" t="s">
        <v>1476</v>
      </c>
      <c r="E255" t="s">
        <v>2998</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3001</v>
      </c>
      <c r="B256">
        <v>2023</v>
      </c>
      <c r="C256" t="s">
        <v>766</v>
      </c>
      <c r="D256" t="s">
        <v>930</v>
      </c>
      <c r="E256" t="s">
        <v>2998</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3001</v>
      </c>
      <c r="B257">
        <v>2023</v>
      </c>
      <c r="C257" t="s">
        <v>766</v>
      </c>
      <c r="D257" t="s">
        <v>1475</v>
      </c>
      <c r="E257" t="s">
        <v>2998</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3001</v>
      </c>
      <c r="B258">
        <v>2025</v>
      </c>
      <c r="C258" t="s">
        <v>766</v>
      </c>
      <c r="D258" t="s">
        <v>482</v>
      </c>
      <c r="E258" t="s">
        <v>2998</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3001</v>
      </c>
      <c r="B259">
        <v>2025</v>
      </c>
      <c r="C259" t="s">
        <v>766</v>
      </c>
      <c r="D259" t="s">
        <v>1473</v>
      </c>
      <c r="E259" t="s">
        <v>2998</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3001</v>
      </c>
      <c r="B260">
        <v>2025</v>
      </c>
      <c r="C260" t="s">
        <v>766</v>
      </c>
      <c r="D260" t="s">
        <v>1476</v>
      </c>
      <c r="E260" t="s">
        <v>2998</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3001</v>
      </c>
      <c r="B261">
        <v>2025</v>
      </c>
      <c r="C261" t="s">
        <v>766</v>
      </c>
      <c r="D261" t="s">
        <v>930</v>
      </c>
      <c r="E261" t="s">
        <v>2998</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3001</v>
      </c>
      <c r="B262">
        <v>2025</v>
      </c>
      <c r="C262" t="s">
        <v>766</v>
      </c>
      <c r="D262" t="s">
        <v>1475</v>
      </c>
      <c r="E262" t="s">
        <v>2998</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3001</v>
      </c>
      <c r="B263">
        <v>2030</v>
      </c>
      <c r="C263" t="s">
        <v>766</v>
      </c>
      <c r="D263" t="s">
        <v>482</v>
      </c>
      <c r="E263" t="s">
        <v>2998</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3001</v>
      </c>
      <c r="B264">
        <v>2030</v>
      </c>
      <c r="C264" t="s">
        <v>766</v>
      </c>
      <c r="D264" t="s">
        <v>1473</v>
      </c>
      <c r="E264" t="s">
        <v>2998</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3001</v>
      </c>
      <c r="B265">
        <v>2030</v>
      </c>
      <c r="C265" t="s">
        <v>766</v>
      </c>
      <c r="D265" t="s">
        <v>1476</v>
      </c>
      <c r="E265" t="s">
        <v>2998</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3001</v>
      </c>
      <c r="B266">
        <v>2030</v>
      </c>
      <c r="C266" t="s">
        <v>766</v>
      </c>
      <c r="D266" t="s">
        <v>930</v>
      </c>
      <c r="E266" t="s">
        <v>2998</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3001</v>
      </c>
      <c r="B267">
        <v>2030</v>
      </c>
      <c r="C267" t="s">
        <v>766</v>
      </c>
      <c r="D267" t="s">
        <v>1475</v>
      </c>
      <c r="E267" t="s">
        <v>2998</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3001</v>
      </c>
      <c r="B268">
        <v>2035</v>
      </c>
      <c r="C268" t="s">
        <v>766</v>
      </c>
      <c r="D268" t="s">
        <v>482</v>
      </c>
      <c r="E268" t="s">
        <v>2998</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3001</v>
      </c>
      <c r="B269">
        <v>2035</v>
      </c>
      <c r="C269" t="s">
        <v>766</v>
      </c>
      <c r="D269" t="s">
        <v>1473</v>
      </c>
      <c r="E269" t="s">
        <v>2998</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3001</v>
      </c>
      <c r="B270">
        <v>2035</v>
      </c>
      <c r="C270" t="s">
        <v>766</v>
      </c>
      <c r="D270" t="s">
        <v>1476</v>
      </c>
      <c r="E270" t="s">
        <v>2998</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3001</v>
      </c>
      <c r="B271">
        <v>2035</v>
      </c>
      <c r="C271" t="s">
        <v>766</v>
      </c>
      <c r="D271" t="s">
        <v>930</v>
      </c>
      <c r="E271" t="s">
        <v>2998</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3001</v>
      </c>
      <c r="B272">
        <v>2035</v>
      </c>
      <c r="C272" t="s">
        <v>766</v>
      </c>
      <c r="D272" t="s">
        <v>1475</v>
      </c>
      <c r="E272" t="s">
        <v>2998</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3001</v>
      </c>
      <c r="B273">
        <v>2050</v>
      </c>
      <c r="C273" t="s">
        <v>766</v>
      </c>
      <c r="D273" t="s">
        <v>482</v>
      </c>
      <c r="E273" t="s">
        <v>2998</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3001</v>
      </c>
      <c r="B274">
        <v>2050</v>
      </c>
      <c r="C274" t="s">
        <v>766</v>
      </c>
      <c r="D274" t="s">
        <v>1473</v>
      </c>
      <c r="E274" t="s">
        <v>2998</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3001</v>
      </c>
      <c r="B275">
        <v>2050</v>
      </c>
      <c r="C275" t="s">
        <v>766</v>
      </c>
      <c r="D275" t="s">
        <v>1476</v>
      </c>
      <c r="E275" t="s">
        <v>2998</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3001</v>
      </c>
      <c r="B276">
        <v>2050</v>
      </c>
      <c r="C276" t="s">
        <v>766</v>
      </c>
      <c r="D276" t="s">
        <v>930</v>
      </c>
      <c r="E276" t="s">
        <v>2998</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3001</v>
      </c>
      <c r="B277">
        <v>2050</v>
      </c>
      <c r="C277" t="s">
        <v>766</v>
      </c>
      <c r="D277" t="s">
        <v>1475</v>
      </c>
      <c r="E277" t="s">
        <v>2998</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4423</v>
      </c>
      <c r="B278">
        <v>2023</v>
      </c>
      <c r="C278" t="s">
        <v>766</v>
      </c>
      <c r="D278" t="s">
        <v>482</v>
      </c>
      <c r="E278" t="s">
        <v>2998</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4423</v>
      </c>
      <c r="B279">
        <v>2023</v>
      </c>
      <c r="C279" t="s">
        <v>766</v>
      </c>
      <c r="D279" t="s">
        <v>1473</v>
      </c>
      <c r="E279" t="s">
        <v>2998</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4423</v>
      </c>
      <c r="B280">
        <v>2023</v>
      </c>
      <c r="C280" t="s">
        <v>766</v>
      </c>
      <c r="D280" t="s">
        <v>1476</v>
      </c>
      <c r="E280" t="s">
        <v>2998</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4423</v>
      </c>
      <c r="B281">
        <v>2023</v>
      </c>
      <c r="C281" t="s">
        <v>766</v>
      </c>
      <c r="D281" t="s">
        <v>930</v>
      </c>
      <c r="E281" t="s">
        <v>2998</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4423</v>
      </c>
      <c r="B282">
        <v>2023</v>
      </c>
      <c r="C282" t="s">
        <v>766</v>
      </c>
      <c r="D282" t="s">
        <v>1475</v>
      </c>
      <c r="E282" t="s">
        <v>2998</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4423</v>
      </c>
      <c r="B283">
        <v>2025</v>
      </c>
      <c r="C283" t="s">
        <v>766</v>
      </c>
      <c r="D283" t="s">
        <v>482</v>
      </c>
      <c r="E283" t="s">
        <v>2998</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4423</v>
      </c>
      <c r="B284">
        <v>2025</v>
      </c>
      <c r="C284" t="s">
        <v>766</v>
      </c>
      <c r="D284" t="s">
        <v>1473</v>
      </c>
      <c r="E284" t="s">
        <v>2998</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4423</v>
      </c>
      <c r="B285">
        <v>2025</v>
      </c>
      <c r="C285" t="s">
        <v>766</v>
      </c>
      <c r="D285" t="s">
        <v>1476</v>
      </c>
      <c r="E285" t="s">
        <v>2998</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4423</v>
      </c>
      <c r="B286">
        <v>2025</v>
      </c>
      <c r="C286" t="s">
        <v>766</v>
      </c>
      <c r="D286" t="s">
        <v>930</v>
      </c>
      <c r="E286" t="s">
        <v>2998</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4423</v>
      </c>
      <c r="B287">
        <v>2025</v>
      </c>
      <c r="C287" t="s">
        <v>766</v>
      </c>
      <c r="D287" t="s">
        <v>1475</v>
      </c>
      <c r="E287" t="s">
        <v>2998</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4423</v>
      </c>
      <c r="B288">
        <v>2030</v>
      </c>
      <c r="C288" t="s">
        <v>766</v>
      </c>
      <c r="D288" t="s">
        <v>482</v>
      </c>
      <c r="E288" t="s">
        <v>2998</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4423</v>
      </c>
      <c r="B289">
        <v>2030</v>
      </c>
      <c r="C289" t="s">
        <v>766</v>
      </c>
      <c r="D289" t="s">
        <v>1473</v>
      </c>
      <c r="E289" t="s">
        <v>2998</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4423</v>
      </c>
      <c r="B290">
        <v>2030</v>
      </c>
      <c r="C290" t="s">
        <v>766</v>
      </c>
      <c r="D290" t="s">
        <v>1476</v>
      </c>
      <c r="E290" t="s">
        <v>2998</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4423</v>
      </c>
      <c r="B291">
        <v>2030</v>
      </c>
      <c r="C291" t="s">
        <v>766</v>
      </c>
      <c r="D291" t="s">
        <v>930</v>
      </c>
      <c r="E291" t="s">
        <v>2998</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4423</v>
      </c>
      <c r="B292">
        <v>2030</v>
      </c>
      <c r="C292" t="s">
        <v>766</v>
      </c>
      <c r="D292" t="s">
        <v>1475</v>
      </c>
      <c r="E292" t="s">
        <v>2998</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4423</v>
      </c>
      <c r="B293">
        <v>2035</v>
      </c>
      <c r="C293" t="s">
        <v>766</v>
      </c>
      <c r="D293" t="s">
        <v>482</v>
      </c>
      <c r="E293" t="s">
        <v>2998</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4423</v>
      </c>
      <c r="B294">
        <v>2035</v>
      </c>
      <c r="C294" t="s">
        <v>766</v>
      </c>
      <c r="D294" t="s">
        <v>1473</v>
      </c>
      <c r="E294" t="s">
        <v>2998</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4423</v>
      </c>
      <c r="B295">
        <v>2035</v>
      </c>
      <c r="C295" t="s">
        <v>766</v>
      </c>
      <c r="D295" t="s">
        <v>1476</v>
      </c>
      <c r="E295" t="s">
        <v>2998</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4423</v>
      </c>
      <c r="B296">
        <v>2035</v>
      </c>
      <c r="C296" t="s">
        <v>766</v>
      </c>
      <c r="D296" t="s">
        <v>930</v>
      </c>
      <c r="E296" t="s">
        <v>2998</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4423</v>
      </c>
      <c r="B297">
        <v>2035</v>
      </c>
      <c r="C297" t="s">
        <v>766</v>
      </c>
      <c r="D297" t="s">
        <v>1475</v>
      </c>
      <c r="E297" t="s">
        <v>2998</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4423</v>
      </c>
      <c r="B298">
        <v>2050</v>
      </c>
      <c r="C298" t="s">
        <v>766</v>
      </c>
      <c r="D298" t="s">
        <v>482</v>
      </c>
      <c r="E298" t="s">
        <v>2998</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4423</v>
      </c>
      <c r="B299">
        <v>2050</v>
      </c>
      <c r="C299" t="s">
        <v>766</v>
      </c>
      <c r="D299" t="s">
        <v>1473</v>
      </c>
      <c r="E299" t="s">
        <v>2998</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4423</v>
      </c>
      <c r="B300">
        <v>2050</v>
      </c>
      <c r="C300" t="s">
        <v>766</v>
      </c>
      <c r="D300" t="s">
        <v>1476</v>
      </c>
      <c r="E300" t="s">
        <v>2998</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4423</v>
      </c>
      <c r="B301">
        <v>2050</v>
      </c>
      <c r="C301" t="s">
        <v>766</v>
      </c>
      <c r="D301" t="s">
        <v>930</v>
      </c>
      <c r="E301" t="s">
        <v>2998</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4423</v>
      </c>
      <c r="B302">
        <v>2050</v>
      </c>
      <c r="C302" t="s">
        <v>766</v>
      </c>
      <c r="D302" t="s">
        <v>1475</v>
      </c>
      <c r="E302" t="s">
        <v>2998</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4424</v>
      </c>
      <c r="B303">
        <v>2023</v>
      </c>
      <c r="C303" t="s">
        <v>766</v>
      </c>
      <c r="D303" t="s">
        <v>482</v>
      </c>
      <c r="E303" t="s">
        <v>2998</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4424</v>
      </c>
      <c r="B304">
        <v>2023</v>
      </c>
      <c r="C304" t="s">
        <v>766</v>
      </c>
      <c r="D304" t="s">
        <v>1473</v>
      </c>
      <c r="E304" t="s">
        <v>2998</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4424</v>
      </c>
      <c r="B305">
        <v>2023</v>
      </c>
      <c r="C305" t="s">
        <v>766</v>
      </c>
      <c r="D305" t="s">
        <v>1476</v>
      </c>
      <c r="E305" t="s">
        <v>2998</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4424</v>
      </c>
      <c r="B306">
        <v>2023</v>
      </c>
      <c r="C306" t="s">
        <v>766</v>
      </c>
      <c r="D306" t="s">
        <v>930</v>
      </c>
      <c r="E306" t="s">
        <v>2998</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4424</v>
      </c>
      <c r="B307">
        <v>2023</v>
      </c>
      <c r="C307" t="s">
        <v>766</v>
      </c>
      <c r="D307" t="s">
        <v>1475</v>
      </c>
      <c r="E307" t="s">
        <v>2998</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4424</v>
      </c>
      <c r="B308">
        <v>2025</v>
      </c>
      <c r="C308" t="s">
        <v>766</v>
      </c>
      <c r="D308" t="s">
        <v>482</v>
      </c>
      <c r="E308" t="s">
        <v>2998</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4424</v>
      </c>
      <c r="B309">
        <v>2025</v>
      </c>
      <c r="C309" t="s">
        <v>766</v>
      </c>
      <c r="D309" t="s">
        <v>1473</v>
      </c>
      <c r="E309" t="s">
        <v>2998</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4424</v>
      </c>
      <c r="B310">
        <v>2025</v>
      </c>
      <c r="C310" t="s">
        <v>766</v>
      </c>
      <c r="D310" t="s">
        <v>1476</v>
      </c>
      <c r="E310" t="s">
        <v>2998</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4424</v>
      </c>
      <c r="B311">
        <v>2025</v>
      </c>
      <c r="C311" t="s">
        <v>766</v>
      </c>
      <c r="D311" t="s">
        <v>930</v>
      </c>
      <c r="E311" t="s">
        <v>2998</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4424</v>
      </c>
      <c r="B312">
        <v>2025</v>
      </c>
      <c r="C312" t="s">
        <v>766</v>
      </c>
      <c r="D312" t="s">
        <v>1475</v>
      </c>
      <c r="E312" t="s">
        <v>2998</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4424</v>
      </c>
      <c r="B313">
        <v>2030</v>
      </c>
      <c r="C313" t="s">
        <v>766</v>
      </c>
      <c r="D313" t="s">
        <v>482</v>
      </c>
      <c r="E313" t="s">
        <v>2998</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4424</v>
      </c>
      <c r="B314">
        <v>2030</v>
      </c>
      <c r="C314" t="s">
        <v>766</v>
      </c>
      <c r="D314" t="s">
        <v>1473</v>
      </c>
      <c r="E314" t="s">
        <v>2998</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4424</v>
      </c>
      <c r="B315">
        <v>2030</v>
      </c>
      <c r="C315" t="s">
        <v>766</v>
      </c>
      <c r="D315" t="s">
        <v>1476</v>
      </c>
      <c r="E315" t="s">
        <v>2998</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4424</v>
      </c>
      <c r="B316">
        <v>2030</v>
      </c>
      <c r="C316" t="s">
        <v>766</v>
      </c>
      <c r="D316" t="s">
        <v>930</v>
      </c>
      <c r="E316" t="s">
        <v>2998</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4424</v>
      </c>
      <c r="B317">
        <v>2030</v>
      </c>
      <c r="C317" t="s">
        <v>766</v>
      </c>
      <c r="D317" t="s">
        <v>1475</v>
      </c>
      <c r="E317" t="s">
        <v>2998</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4424</v>
      </c>
      <c r="B318">
        <v>2035</v>
      </c>
      <c r="C318" t="s">
        <v>766</v>
      </c>
      <c r="D318" t="s">
        <v>482</v>
      </c>
      <c r="E318" t="s">
        <v>2998</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4424</v>
      </c>
      <c r="B319">
        <v>2035</v>
      </c>
      <c r="C319" t="s">
        <v>766</v>
      </c>
      <c r="D319" t="s">
        <v>1473</v>
      </c>
      <c r="E319" t="s">
        <v>2998</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4424</v>
      </c>
      <c r="B320">
        <v>2035</v>
      </c>
      <c r="C320" t="s">
        <v>766</v>
      </c>
      <c r="D320" t="s">
        <v>1476</v>
      </c>
      <c r="E320" t="s">
        <v>2998</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4424</v>
      </c>
      <c r="B321">
        <v>2035</v>
      </c>
      <c r="C321" t="s">
        <v>766</v>
      </c>
      <c r="D321" t="s">
        <v>930</v>
      </c>
      <c r="E321" t="s">
        <v>2998</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4424</v>
      </c>
      <c r="B322">
        <v>2035</v>
      </c>
      <c r="C322" t="s">
        <v>766</v>
      </c>
      <c r="D322" t="s">
        <v>1475</v>
      </c>
      <c r="E322" t="s">
        <v>2998</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4424</v>
      </c>
      <c r="B323">
        <v>2050</v>
      </c>
      <c r="C323" t="s">
        <v>766</v>
      </c>
      <c r="D323" t="s">
        <v>482</v>
      </c>
      <c r="E323" t="s">
        <v>2998</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4424</v>
      </c>
      <c r="B324">
        <v>2050</v>
      </c>
      <c r="C324" t="s">
        <v>766</v>
      </c>
      <c r="D324" t="s">
        <v>1473</v>
      </c>
      <c r="E324" t="s">
        <v>2998</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4424</v>
      </c>
      <c r="B325">
        <v>2050</v>
      </c>
      <c r="C325" t="s">
        <v>766</v>
      </c>
      <c r="D325" t="s">
        <v>1476</v>
      </c>
      <c r="E325" t="s">
        <v>2998</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4424</v>
      </c>
      <c r="B326">
        <v>2050</v>
      </c>
      <c r="C326" t="s">
        <v>766</v>
      </c>
      <c r="D326" t="s">
        <v>930</v>
      </c>
      <c r="E326" t="s">
        <v>2998</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4424</v>
      </c>
      <c r="B327" s="68">
        <v>2050</v>
      </c>
      <c r="C327" s="68" t="s">
        <v>766</v>
      </c>
      <c r="D327" s="68" t="s">
        <v>1475</v>
      </c>
      <c r="E327" s="68" t="s">
        <v>2998</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2998</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2998</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2998</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2998</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2998</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2998</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2998</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2998</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3046</v>
      </c>
      <c r="B336">
        <v>2020</v>
      </c>
      <c r="C336" t="s">
        <v>766</v>
      </c>
      <c r="D336" t="s">
        <v>482</v>
      </c>
      <c r="E336" t="s">
        <v>2998</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3001</v>
      </c>
      <c r="B337">
        <v>2020</v>
      </c>
      <c r="C337" t="s">
        <v>766</v>
      </c>
      <c r="D337" t="s">
        <v>482</v>
      </c>
      <c r="E337" t="s">
        <v>2998</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2998</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2998</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2998</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2998</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2998</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2998</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2998</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2998</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2998</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3046</v>
      </c>
      <c r="B347">
        <v>2020</v>
      </c>
      <c r="C347" t="s">
        <v>766</v>
      </c>
      <c r="D347" t="s">
        <v>1473</v>
      </c>
      <c r="E347" t="s">
        <v>2998</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3001</v>
      </c>
      <c r="B348">
        <v>2020</v>
      </c>
      <c r="C348" t="s">
        <v>766</v>
      </c>
      <c r="D348" t="s">
        <v>1473</v>
      </c>
      <c r="E348" t="s">
        <v>2998</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2998</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2998</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2998</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2998</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2998</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2998</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2998</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2998</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2998</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3046</v>
      </c>
      <c r="B358">
        <v>2020</v>
      </c>
      <c r="C358" t="s">
        <v>766</v>
      </c>
      <c r="D358" t="s">
        <v>1476</v>
      </c>
      <c r="E358" t="s">
        <v>2998</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3001</v>
      </c>
      <c r="B359">
        <v>2020</v>
      </c>
      <c r="C359" t="s">
        <v>766</v>
      </c>
      <c r="D359" t="s">
        <v>1476</v>
      </c>
      <c r="E359" t="s">
        <v>2998</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2998</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2998</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2998</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2998</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2998</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2998</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2998</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2998</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2998</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3046</v>
      </c>
      <c r="B369">
        <v>2020</v>
      </c>
      <c r="C369" t="s">
        <v>766</v>
      </c>
      <c r="D369" t="s">
        <v>930</v>
      </c>
      <c r="E369" t="s">
        <v>2998</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3001</v>
      </c>
      <c r="B370">
        <v>2020</v>
      </c>
      <c r="C370" t="s">
        <v>766</v>
      </c>
      <c r="D370" t="s">
        <v>930</v>
      </c>
      <c r="E370" t="s">
        <v>2998</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2998</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2998</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2998</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2998</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2998</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2998</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2998</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2998</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2998</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3046</v>
      </c>
      <c r="B380">
        <v>2020</v>
      </c>
      <c r="C380" t="s">
        <v>766</v>
      </c>
      <c r="D380" t="s">
        <v>1475</v>
      </c>
      <c r="E380" t="s">
        <v>2998</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3001</v>
      </c>
      <c r="B381">
        <v>2020</v>
      </c>
      <c r="C381" t="s">
        <v>766</v>
      </c>
      <c r="D381" t="s">
        <v>1475</v>
      </c>
      <c r="E381" t="s">
        <v>2998</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2998</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pane xSplit="1" ySplit="2" topLeftCell="B830" activePane="bottomRight" state="frozen"/>
      <selection pane="topRight" activeCell="B1" sqref="B1"/>
      <selection pane="bottomLeft" activeCell="A3" sqref="A3"/>
      <selection pane="bottomRight" activeCell="H870" activeCellId="1" sqref="H846 H870"/>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3055</v>
      </c>
      <c r="L1" s="1148" t="s">
        <v>915</v>
      </c>
      <c r="M1" s="1148"/>
      <c r="N1" s="1148"/>
      <c r="O1" s="1148"/>
      <c r="P1" s="1148"/>
      <c r="Q1" s="1148"/>
      <c r="R1" s="1148"/>
      <c r="S1" s="1148"/>
      <c r="T1" s="1148"/>
      <c r="U1" s="1148"/>
      <c r="V1" s="1148"/>
      <c r="W1" s="1148"/>
      <c r="X1" s="1148"/>
      <c r="Y1" s="1148"/>
      <c r="Z1" s="1148"/>
      <c r="AA1" s="1148"/>
      <c r="AB1" s="1148"/>
      <c r="AC1" s="1148"/>
      <c r="AD1" s="1148"/>
      <c r="AE1" s="1147" t="s">
        <v>3953</v>
      </c>
      <c r="AF1" s="1147"/>
      <c r="AG1" s="1147"/>
      <c r="AH1" s="1147"/>
      <c r="AI1" s="1147"/>
      <c r="AJ1" s="1147"/>
      <c r="AL1" s="1038" t="s">
        <v>3957</v>
      </c>
      <c r="AM1" s="1038"/>
      <c r="AN1" s="1038"/>
      <c r="AO1" s="1038"/>
      <c r="AP1" s="1038"/>
      <c r="AQ1" s="1038"/>
      <c r="AR1" s="1038"/>
      <c r="AS1" s="1038"/>
      <c r="AT1" s="1038"/>
      <c r="AX1" s="28" t="s">
        <v>3970</v>
      </c>
    </row>
    <row r="2" spans="1:61" s="217" customFormat="1" ht="60.75" thickBot="1" x14ac:dyDescent="0.3">
      <c r="A2" s="220" t="s">
        <v>878</v>
      </c>
      <c r="B2" s="220" t="s">
        <v>901</v>
      </c>
      <c r="C2" s="220" t="s">
        <v>902</v>
      </c>
      <c r="D2" s="220" t="s">
        <v>3053</v>
      </c>
      <c r="E2" s="220" t="s">
        <v>903</v>
      </c>
      <c r="F2" s="220" t="s">
        <v>3056</v>
      </c>
      <c r="G2" s="220" t="s">
        <v>3057</v>
      </c>
      <c r="H2" s="801" t="s">
        <v>3991</v>
      </c>
      <c r="I2" s="801" t="s">
        <v>3058</v>
      </c>
      <c r="J2" s="801" t="s">
        <v>3059</v>
      </c>
      <c r="K2" s="801" t="s">
        <v>3060</v>
      </c>
      <c r="L2" s="802" t="s">
        <v>882</v>
      </c>
      <c r="M2" s="802" t="s">
        <v>3935</v>
      </c>
      <c r="N2" s="802" t="s">
        <v>3944</v>
      </c>
      <c r="O2" s="802" t="s">
        <v>3945</v>
      </c>
      <c r="P2" s="802" t="s">
        <v>3936</v>
      </c>
      <c r="Q2" s="802" t="s">
        <v>3946</v>
      </c>
      <c r="R2" s="802" t="s">
        <v>3937</v>
      </c>
      <c r="S2" s="802" t="s">
        <v>3938</v>
      </c>
      <c r="T2" s="802" t="s">
        <v>904</v>
      </c>
      <c r="U2" s="802" t="s">
        <v>3939</v>
      </c>
      <c r="V2" s="802" t="s">
        <v>3947</v>
      </c>
      <c r="W2" s="802" t="s">
        <v>3940</v>
      </c>
      <c r="X2" s="802" t="s">
        <v>3948</v>
      </c>
      <c r="Y2" s="802" t="s">
        <v>3941</v>
      </c>
      <c r="Z2" s="802" t="s">
        <v>3942</v>
      </c>
      <c r="AA2" s="802" t="s">
        <v>881</v>
      </c>
      <c r="AB2" s="802" t="s">
        <v>3943</v>
      </c>
      <c r="AC2" s="802" t="s">
        <v>3949</v>
      </c>
      <c r="AD2" s="221" t="s">
        <v>3934</v>
      </c>
      <c r="AE2" s="222" t="s">
        <v>3950</v>
      </c>
      <c r="AF2" s="222" t="s">
        <v>3951</v>
      </c>
      <c r="AG2" s="222" t="s">
        <v>3952</v>
      </c>
      <c r="AH2" s="222" t="s">
        <v>3954</v>
      </c>
      <c r="AI2" s="222" t="s">
        <v>3955</v>
      </c>
      <c r="AJ2" s="222" t="s">
        <v>3956</v>
      </c>
      <c r="AK2" s="224"/>
      <c r="AL2" s="210" t="s">
        <v>927</v>
      </c>
      <c r="AM2" s="210" t="s">
        <v>3971</v>
      </c>
      <c r="AN2" s="210" t="s">
        <v>3958</v>
      </c>
      <c r="AO2" s="210" t="s">
        <v>917</v>
      </c>
      <c r="AP2" s="210" t="s">
        <v>916</v>
      </c>
      <c r="AQ2" s="210" t="s">
        <v>918</v>
      </c>
      <c r="AR2" s="210" t="s">
        <v>919</v>
      </c>
      <c r="AS2" s="210" t="s">
        <v>920</v>
      </c>
      <c r="AT2" s="210" t="s">
        <v>921</v>
      </c>
      <c r="AV2" s="215" t="s">
        <v>928</v>
      </c>
      <c r="AX2" s="803" t="s">
        <v>3960</v>
      </c>
      <c r="AY2" s="803" t="s">
        <v>3964</v>
      </c>
      <c r="AZ2" s="803" t="s">
        <v>3965</v>
      </c>
      <c r="BA2" s="803" t="s">
        <v>3966</v>
      </c>
      <c r="BB2" s="803" t="s">
        <v>3967</v>
      </c>
      <c r="BC2" s="803" t="s">
        <v>3968</v>
      </c>
      <c r="BD2" s="803" t="s">
        <v>3978</v>
      </c>
      <c r="BE2" s="803" t="s">
        <v>3969</v>
      </c>
      <c r="BF2" s="804" t="s">
        <v>3972</v>
      </c>
      <c r="BH2" s="804" t="s">
        <v>3053</v>
      </c>
      <c r="BI2" s="804" t="s">
        <v>3971</v>
      </c>
    </row>
    <row r="3" spans="1:61" ht="16.5" thickTop="1" thickBot="1" x14ac:dyDescent="0.3">
      <c r="A3" t="s">
        <v>905</v>
      </c>
      <c r="B3">
        <v>2023</v>
      </c>
      <c r="C3" t="s">
        <v>766</v>
      </c>
      <c r="D3" t="s">
        <v>589</v>
      </c>
      <c r="E3" t="s">
        <v>1329</v>
      </c>
      <c r="F3">
        <v>2</v>
      </c>
      <c r="G3" t="s">
        <v>3061</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3961</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3062</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3962</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3063</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3975</v>
      </c>
      <c r="AX5" t="s">
        <v>3963</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3064</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3959</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3065</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3977</v>
      </c>
      <c r="BH7" t="s">
        <v>913</v>
      </c>
      <c r="BI7" t="s">
        <v>913</v>
      </c>
    </row>
    <row r="8" spans="1:61" x14ac:dyDescent="0.25">
      <c r="A8" t="s">
        <v>908</v>
      </c>
      <c r="B8">
        <v>2023</v>
      </c>
      <c r="C8" t="s">
        <v>766</v>
      </c>
      <c r="D8" t="s">
        <v>589</v>
      </c>
      <c r="E8" t="s">
        <v>1329</v>
      </c>
      <c r="F8">
        <v>2</v>
      </c>
      <c r="G8" t="s">
        <v>3066</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3976</v>
      </c>
      <c r="BH8" t="s">
        <v>937</v>
      </c>
      <c r="BI8" t="s">
        <v>913</v>
      </c>
    </row>
    <row r="9" spans="1:61" ht="15.75" thickBot="1" x14ac:dyDescent="0.3">
      <c r="A9" t="s">
        <v>247</v>
      </c>
      <c r="B9">
        <v>2023</v>
      </c>
      <c r="C9" t="s">
        <v>766</v>
      </c>
      <c r="D9" t="s">
        <v>589</v>
      </c>
      <c r="E9" t="s">
        <v>1329</v>
      </c>
      <c r="F9">
        <v>2</v>
      </c>
      <c r="G9" t="s">
        <v>3067</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4036</v>
      </c>
      <c r="BH9" t="s">
        <v>914</v>
      </c>
      <c r="BI9" t="s">
        <v>914</v>
      </c>
    </row>
    <row r="10" spans="1:61" ht="15.75" thickBot="1" x14ac:dyDescent="0.3">
      <c r="A10" t="s">
        <v>567</v>
      </c>
      <c r="B10">
        <v>2023</v>
      </c>
      <c r="C10" t="s">
        <v>766</v>
      </c>
      <c r="D10" t="s">
        <v>589</v>
      </c>
      <c r="E10" t="s">
        <v>1329</v>
      </c>
      <c r="F10">
        <v>2</v>
      </c>
      <c r="G10" t="s">
        <v>3068</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3069</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3973</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3070</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3974</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3071</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3072</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4037</v>
      </c>
    </row>
    <row r="15" spans="1:61" ht="15.75" thickBot="1" x14ac:dyDescent="0.3">
      <c r="A15" t="s">
        <v>907</v>
      </c>
      <c r="B15">
        <v>2025</v>
      </c>
      <c r="C15" t="s">
        <v>766</v>
      </c>
      <c r="D15" t="s">
        <v>589</v>
      </c>
      <c r="E15" t="s">
        <v>1329</v>
      </c>
      <c r="F15">
        <v>2</v>
      </c>
      <c r="G15" t="s">
        <v>3073</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4045</v>
      </c>
    </row>
    <row r="16" spans="1:61" ht="15.75" thickTop="1" x14ac:dyDescent="0.25">
      <c r="A16" t="s">
        <v>908</v>
      </c>
      <c r="B16">
        <v>2025</v>
      </c>
      <c r="C16" t="s">
        <v>766</v>
      </c>
      <c r="D16" t="s">
        <v>589</v>
      </c>
      <c r="E16" t="s">
        <v>1329</v>
      </c>
      <c r="F16">
        <v>2</v>
      </c>
      <c r="G16" t="s">
        <v>3074</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3075</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3076</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3077</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3078</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3079</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3080</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3081</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3082</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3083</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3084</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3085</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3086</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3087</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3088</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3089</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3090</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3091</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3092</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3093</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3094</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3095</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3096</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3097</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3098</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3099</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3100</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3101</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3102</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3103</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3104</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3105</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3106</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3107</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3108</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3109</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3110</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3111</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3112</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3113</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3114</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3115</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3116</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3117</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3118</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3119</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3120</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3121</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3122</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3123</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3124</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3125</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3126</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3127</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3128</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3129</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3130</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3131</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3132</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3133</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3134</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3135</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3136</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3137</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3138</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3139</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3140</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3141</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3142</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3143</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3144</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3145</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3146</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3147</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3148</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3149</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3150</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3151</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3152</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3153</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3154</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3155</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3156</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3157</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3158</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3159</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3160</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3161</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3162</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3163</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3164</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3165</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3166</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3167</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3168</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3169</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3170</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3171</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3172</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3173</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3174</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3175</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3176</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3177</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3178</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3179</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3180</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3181</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3182</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3183</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3184</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3185</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3186</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3187</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3188</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3189</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3190</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3191</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3192</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3193</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3194</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3195</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3196</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3197</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3198</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3199</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3200</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3201</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3202</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3203</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3204</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3205</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3206</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3207</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3208</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3209</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3210</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3211</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3212</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3213</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3214</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3215</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3216</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3217</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3218</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3219</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3220</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3221</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3222</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3223</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3224</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3225</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3226</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3227</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3228</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3229</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3230</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3231</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3232</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3233</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3234</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3235</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3236</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3237</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3238</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3239</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3240</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3241</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3242</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3243</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3244</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3245</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3246</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3247</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3248</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3249</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3250</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3251</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3252</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3253</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3254</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3255</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3256</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3257</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3258</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3259</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3260</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3261</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3262</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3263</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3264</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3265</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3266</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3267</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3268</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3269</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3270</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3271</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3272</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3273</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3274</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3275</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3276</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3277</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3278</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3279</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3280</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3281</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3282</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3283</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3284</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3285</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3286</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3287</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3288</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3289</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3290</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3291</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3292</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3293</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3294</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3295</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3296</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3297</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3298</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3299</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3300</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3301</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3302</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3303</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3304</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3305</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3306</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3307</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3308</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3309</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3310</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3311</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3312</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3313</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3314</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3315</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3316</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3317</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3318</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3319</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3320</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3321</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3322</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3323</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3324</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3325</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3326</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3327</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3328</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3329</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3330</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3331</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3332</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3333</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3334</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3335</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3336</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3337</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3338</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3339</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3340</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3341</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3342</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3343</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3344</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3345</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3346</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3347</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3348</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3349</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3350</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3351</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3352</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3353</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3354</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3355</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3356</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3357</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3358</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3359</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3360</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3361</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3362</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3363</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3364</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3365</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3366</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3367</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3368</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3369</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3370</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3371</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3372</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3373</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3374</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3375</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3376</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3377</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3378</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3379</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3380</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3381</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3382</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3383</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3384</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3385</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3386</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3387</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3388</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3389</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3390</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3391</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3392</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3393</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3394</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3395</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3396</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3397</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3398</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3399</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3400</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3401</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3402</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3403</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3404</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3405</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3406</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3407</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3408</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3409</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3410</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3411</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3412</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3413</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3414</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3415</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3416</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3417</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3418</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3419</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3420</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3421</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3422</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3423</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3424</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3425</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3426</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3427</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3428</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3429</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3430</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3431</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3432</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3433</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3434</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3435</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3436</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3437</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3438</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3439</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3440</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3441</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3442</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3443</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3444</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3445</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3446</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3447</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3448</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3449</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3450</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3451</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3452</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3453</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3454</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3455</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3456</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3457</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3458</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3459</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3460</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3461</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3462</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3463</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3464</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3465</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3466</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3467</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3468</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3469</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3470</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3471</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3472</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3473</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3474</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3475</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3476</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3477</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3478</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3479</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3480</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3481</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3482</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3483</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3484</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3485</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3486</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3487</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3488</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3489</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3490</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3491</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3492</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3493</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3494</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3495</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3496</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3497</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3498</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3499</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3500</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3501</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3502</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3503</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3504</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3505</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3506</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3507</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3508</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3509</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3510</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3511</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3512</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3513</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3514</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3515</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3516</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3517</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3518</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3519</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3520</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3521</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3522</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3523</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3524</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3525</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3526</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3527</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3528</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3529</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3530</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3531</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3532</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3533</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3534</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3535</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3536</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3537</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3538</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3539</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3540</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3541</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3542</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3543</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3544</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3545</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3546</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3547</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3548</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3549</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3550</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3551</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3552</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3553</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3554</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3555</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3556</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3557</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3558</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3559</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3560</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3561</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3562</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3563</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3564</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3565</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3566</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3567</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3568</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3569</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3570</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3571</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3572</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3573</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3574</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3575</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3576</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3577</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3578</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3579</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3580</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3581</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3582</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3583</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3584</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3585</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3586</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3587</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3588</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3589</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3590</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3591</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3592</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3593</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3594</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3595</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3596</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3597</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3598</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3599</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3600</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3601</v>
      </c>
      <c r="F543">
        <v>7</v>
      </c>
      <c r="G543" t="s">
        <v>3602</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3601</v>
      </c>
      <c r="F544">
        <v>7</v>
      </c>
      <c r="G544" t="s">
        <v>3603</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3601</v>
      </c>
      <c r="F545">
        <v>7</v>
      </c>
      <c r="G545" t="s">
        <v>3604</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3601</v>
      </c>
      <c r="F546">
        <v>7</v>
      </c>
      <c r="G546" t="s">
        <v>3605</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3601</v>
      </c>
      <c r="F547">
        <v>7</v>
      </c>
      <c r="G547" t="s">
        <v>3606</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3601</v>
      </c>
      <c r="F548">
        <v>7</v>
      </c>
      <c r="G548" t="s">
        <v>3607</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3601</v>
      </c>
      <c r="F549">
        <v>7</v>
      </c>
      <c r="G549" t="s">
        <v>3608</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3601</v>
      </c>
      <c r="F550">
        <v>7</v>
      </c>
      <c r="G550" t="s">
        <v>3609</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3601</v>
      </c>
      <c r="F551">
        <v>7</v>
      </c>
      <c r="G551" t="s">
        <v>3610</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3601</v>
      </c>
      <c r="F552">
        <v>7</v>
      </c>
      <c r="G552" t="s">
        <v>3611</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3601</v>
      </c>
      <c r="F553">
        <v>7</v>
      </c>
      <c r="G553" t="s">
        <v>3612</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3601</v>
      </c>
      <c r="F554">
        <v>7</v>
      </c>
      <c r="G554" t="s">
        <v>3613</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3601</v>
      </c>
      <c r="F555">
        <v>7</v>
      </c>
      <c r="G555" t="s">
        <v>3614</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3601</v>
      </c>
      <c r="F556">
        <v>7</v>
      </c>
      <c r="G556" t="s">
        <v>3615</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3601</v>
      </c>
      <c r="F557">
        <v>7</v>
      </c>
      <c r="G557" t="s">
        <v>3616</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3601</v>
      </c>
      <c r="F558">
        <v>7</v>
      </c>
      <c r="G558" t="s">
        <v>3617</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3601</v>
      </c>
      <c r="F559">
        <v>7</v>
      </c>
      <c r="G559" t="s">
        <v>3618</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3601</v>
      </c>
      <c r="F560">
        <v>7</v>
      </c>
      <c r="G560" t="s">
        <v>3619</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3601</v>
      </c>
      <c r="F561">
        <v>7</v>
      </c>
      <c r="G561" t="s">
        <v>3620</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3601</v>
      </c>
      <c r="F562">
        <v>7</v>
      </c>
      <c r="G562" t="s">
        <v>3621</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3601</v>
      </c>
      <c r="F563">
        <v>7</v>
      </c>
      <c r="G563" t="s">
        <v>3622</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3601</v>
      </c>
      <c r="F564">
        <v>7</v>
      </c>
      <c r="G564" t="s">
        <v>3623</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3601</v>
      </c>
      <c r="F565">
        <v>7</v>
      </c>
      <c r="G565" t="s">
        <v>3624</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3601</v>
      </c>
      <c r="F566">
        <v>7</v>
      </c>
      <c r="G566" t="s">
        <v>3625</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3601</v>
      </c>
      <c r="F567">
        <v>7</v>
      </c>
      <c r="G567" t="s">
        <v>3626</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3601</v>
      </c>
      <c r="F568">
        <v>7</v>
      </c>
      <c r="G568" t="s">
        <v>3627</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3601</v>
      </c>
      <c r="F569">
        <v>7</v>
      </c>
      <c r="G569" t="s">
        <v>3628</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3601</v>
      </c>
      <c r="F570">
        <v>7</v>
      </c>
      <c r="G570" t="s">
        <v>3629</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3601</v>
      </c>
      <c r="F571">
        <v>7</v>
      </c>
      <c r="G571" t="s">
        <v>3630</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3601</v>
      </c>
      <c r="F572">
        <v>7</v>
      </c>
      <c r="G572" t="s">
        <v>3631</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3632</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3633</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3634</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3635</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3636</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3637</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3638</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3639</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3640</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3641</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3642</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3643</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3644</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3645</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3646</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3647</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3648</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3649</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3650</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3651</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3652</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3653</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3654</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3655</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3656</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3657</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3658</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3659</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3660</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3661</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3662</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3663</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3664</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3665</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3666</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3667</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3668</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3669</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3670</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3671</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3672</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3673</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3674</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3675</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3676</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3677</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3678</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3679</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3680</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3681</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3682</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3683</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3684</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3685</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3686</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3687</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3688</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3689</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3690</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3691</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3692</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3693</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3694</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3695</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3696</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3697</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3698</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3699</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3700</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3701</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3702</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3703</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3704</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3705</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3706</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3707</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3708</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3709</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3710</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3711</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3712</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3713</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3714</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3715</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3716</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3717</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3718</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3719</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3720</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3721</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3722</v>
      </c>
      <c r="F663">
        <v>8</v>
      </c>
      <c r="G663" t="s">
        <v>3723</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3722</v>
      </c>
      <c r="F664">
        <v>8</v>
      </c>
      <c r="G664" t="s">
        <v>3724</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3722</v>
      </c>
      <c r="F665">
        <v>8</v>
      </c>
      <c r="G665" t="s">
        <v>3725</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3722</v>
      </c>
      <c r="F666">
        <v>8</v>
      </c>
      <c r="G666" t="s">
        <v>3726</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3722</v>
      </c>
      <c r="F667">
        <v>8</v>
      </c>
      <c r="G667" t="s">
        <v>3727</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3722</v>
      </c>
      <c r="F668">
        <v>8</v>
      </c>
      <c r="G668" t="s">
        <v>3728</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3722</v>
      </c>
      <c r="F669">
        <v>8</v>
      </c>
      <c r="G669" t="s">
        <v>3729</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3722</v>
      </c>
      <c r="F670">
        <v>8</v>
      </c>
      <c r="G670" t="s">
        <v>3730</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3722</v>
      </c>
      <c r="F671">
        <v>8</v>
      </c>
      <c r="G671" t="s">
        <v>3731</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3722</v>
      </c>
      <c r="F672">
        <v>8</v>
      </c>
      <c r="G672" t="s">
        <v>3732</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3722</v>
      </c>
      <c r="F673">
        <v>8</v>
      </c>
      <c r="G673" t="s">
        <v>3733</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3722</v>
      </c>
      <c r="F674">
        <v>8</v>
      </c>
      <c r="G674" t="s">
        <v>3734</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3722</v>
      </c>
      <c r="F675">
        <v>8</v>
      </c>
      <c r="G675" t="s">
        <v>3735</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3722</v>
      </c>
      <c r="F676">
        <v>8</v>
      </c>
      <c r="G676" t="s">
        <v>3736</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3722</v>
      </c>
      <c r="F677">
        <v>8</v>
      </c>
      <c r="G677" t="s">
        <v>3737</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3722</v>
      </c>
      <c r="F678">
        <v>8</v>
      </c>
      <c r="G678" t="s">
        <v>3738</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3722</v>
      </c>
      <c r="F679">
        <v>8</v>
      </c>
      <c r="G679" t="s">
        <v>3739</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3722</v>
      </c>
      <c r="F680">
        <v>8</v>
      </c>
      <c r="G680" t="s">
        <v>3740</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3722</v>
      </c>
      <c r="F681">
        <v>8</v>
      </c>
      <c r="G681" t="s">
        <v>3741</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3722</v>
      </c>
      <c r="F682">
        <v>8</v>
      </c>
      <c r="G682" t="s">
        <v>3742</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3722</v>
      </c>
      <c r="F683">
        <v>8</v>
      </c>
      <c r="G683" t="s">
        <v>3743</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3722</v>
      </c>
      <c r="F684">
        <v>8</v>
      </c>
      <c r="G684" t="s">
        <v>3744</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3722</v>
      </c>
      <c r="F685">
        <v>8</v>
      </c>
      <c r="G685" t="s">
        <v>3745</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3722</v>
      </c>
      <c r="F686">
        <v>8</v>
      </c>
      <c r="G686" t="s">
        <v>3746</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3722</v>
      </c>
      <c r="F687">
        <v>8</v>
      </c>
      <c r="G687" t="s">
        <v>3747</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3722</v>
      </c>
      <c r="F688">
        <v>8</v>
      </c>
      <c r="G688" t="s">
        <v>3748</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3722</v>
      </c>
      <c r="F689">
        <v>8</v>
      </c>
      <c r="G689" t="s">
        <v>3749</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3722</v>
      </c>
      <c r="F690">
        <v>8</v>
      </c>
      <c r="G690" t="s">
        <v>3750</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3722</v>
      </c>
      <c r="F691">
        <v>8</v>
      </c>
      <c r="G691" t="s">
        <v>3751</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3722</v>
      </c>
      <c r="F692">
        <v>8</v>
      </c>
      <c r="G692" t="s">
        <v>3752</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3601</v>
      </c>
      <c r="F693">
        <v>8</v>
      </c>
      <c r="G693" t="s">
        <v>3753</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3601</v>
      </c>
      <c r="F694">
        <v>8</v>
      </c>
      <c r="G694" t="s">
        <v>3754</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3601</v>
      </c>
      <c r="F695">
        <v>8</v>
      </c>
      <c r="G695" t="s">
        <v>3755</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3601</v>
      </c>
      <c r="F696">
        <v>8</v>
      </c>
      <c r="G696" t="s">
        <v>3756</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3601</v>
      </c>
      <c r="F697">
        <v>8</v>
      </c>
      <c r="G697" t="s">
        <v>3757</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3601</v>
      </c>
      <c r="F698">
        <v>8</v>
      </c>
      <c r="G698" t="s">
        <v>3758</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3601</v>
      </c>
      <c r="F699">
        <v>8</v>
      </c>
      <c r="G699" t="s">
        <v>3759</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3601</v>
      </c>
      <c r="F700">
        <v>8</v>
      </c>
      <c r="G700" t="s">
        <v>3760</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3601</v>
      </c>
      <c r="F701">
        <v>8</v>
      </c>
      <c r="G701" t="s">
        <v>3761</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3601</v>
      </c>
      <c r="F702">
        <v>8</v>
      </c>
      <c r="G702" t="s">
        <v>3762</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3601</v>
      </c>
      <c r="F703">
        <v>8</v>
      </c>
      <c r="G703" t="s">
        <v>3763</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3601</v>
      </c>
      <c r="F704">
        <v>8</v>
      </c>
      <c r="G704" t="s">
        <v>3764</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3601</v>
      </c>
      <c r="F705">
        <v>8</v>
      </c>
      <c r="G705" t="s">
        <v>3765</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3601</v>
      </c>
      <c r="F706">
        <v>8</v>
      </c>
      <c r="G706" t="s">
        <v>3766</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3601</v>
      </c>
      <c r="F707">
        <v>8</v>
      </c>
      <c r="G707" t="s">
        <v>3767</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3601</v>
      </c>
      <c r="F708">
        <v>8</v>
      </c>
      <c r="G708" t="s">
        <v>3768</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3601</v>
      </c>
      <c r="F709">
        <v>8</v>
      </c>
      <c r="G709" t="s">
        <v>3769</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3601</v>
      </c>
      <c r="F710">
        <v>8</v>
      </c>
      <c r="G710" t="s">
        <v>3770</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3601</v>
      </c>
      <c r="F711">
        <v>8</v>
      </c>
      <c r="G711" t="s">
        <v>3771</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3601</v>
      </c>
      <c r="F712">
        <v>8</v>
      </c>
      <c r="G712" t="s">
        <v>3772</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3601</v>
      </c>
      <c r="F713">
        <v>8</v>
      </c>
      <c r="G713" t="s">
        <v>3773</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3601</v>
      </c>
      <c r="F714">
        <v>8</v>
      </c>
      <c r="G714" t="s">
        <v>3774</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3601</v>
      </c>
      <c r="F715">
        <v>8</v>
      </c>
      <c r="G715" t="s">
        <v>3775</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3601</v>
      </c>
      <c r="F716">
        <v>8</v>
      </c>
      <c r="G716" t="s">
        <v>3776</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3601</v>
      </c>
      <c r="F717">
        <v>8</v>
      </c>
      <c r="G717" t="s">
        <v>3777</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3601</v>
      </c>
      <c r="F718">
        <v>8</v>
      </c>
      <c r="G718" t="s">
        <v>3778</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3601</v>
      </c>
      <c r="F719">
        <v>8</v>
      </c>
      <c r="G719" t="s">
        <v>3779</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3601</v>
      </c>
      <c r="F720">
        <v>8</v>
      </c>
      <c r="G720" t="s">
        <v>3780</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3601</v>
      </c>
      <c r="F721">
        <v>8</v>
      </c>
      <c r="G721" t="s">
        <v>3781</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3601</v>
      </c>
      <c r="F722">
        <v>8</v>
      </c>
      <c r="G722" t="s">
        <v>3782</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3601</v>
      </c>
      <c r="F723">
        <v>8</v>
      </c>
      <c r="G723" t="s">
        <v>3783</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3601</v>
      </c>
      <c r="F724">
        <v>8</v>
      </c>
      <c r="G724" t="s">
        <v>3784</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3601</v>
      </c>
      <c r="F725">
        <v>8</v>
      </c>
      <c r="G725" t="s">
        <v>3785</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3601</v>
      </c>
      <c r="F726">
        <v>8</v>
      </c>
      <c r="G726" t="s">
        <v>3786</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3601</v>
      </c>
      <c r="F727">
        <v>8</v>
      </c>
      <c r="G727" t="s">
        <v>3787</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3601</v>
      </c>
      <c r="F728">
        <v>8</v>
      </c>
      <c r="G728" t="s">
        <v>3788</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3601</v>
      </c>
      <c r="F729">
        <v>8</v>
      </c>
      <c r="G729" t="s">
        <v>3789</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3601</v>
      </c>
      <c r="F730">
        <v>8</v>
      </c>
      <c r="G730" t="s">
        <v>3790</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3601</v>
      </c>
      <c r="F731">
        <v>8</v>
      </c>
      <c r="G731" t="s">
        <v>3791</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3601</v>
      </c>
      <c r="F732">
        <v>8</v>
      </c>
      <c r="G732" t="s">
        <v>3792</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3601</v>
      </c>
      <c r="F733">
        <v>8</v>
      </c>
      <c r="G733" t="s">
        <v>3793</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3601</v>
      </c>
      <c r="F734">
        <v>8</v>
      </c>
      <c r="G734" t="s">
        <v>3794</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3601</v>
      </c>
      <c r="F735">
        <v>8</v>
      </c>
      <c r="G735" t="s">
        <v>3795</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3601</v>
      </c>
      <c r="F736">
        <v>8</v>
      </c>
      <c r="G736" t="s">
        <v>3796</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3601</v>
      </c>
      <c r="F737">
        <v>8</v>
      </c>
      <c r="G737" t="s">
        <v>3797</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3601</v>
      </c>
      <c r="F738">
        <v>8</v>
      </c>
      <c r="G738" t="s">
        <v>3798</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3601</v>
      </c>
      <c r="F739">
        <v>8</v>
      </c>
      <c r="G739" t="s">
        <v>3799</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3601</v>
      </c>
      <c r="F740">
        <v>8</v>
      </c>
      <c r="G740" t="s">
        <v>3800</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3601</v>
      </c>
      <c r="F741">
        <v>8</v>
      </c>
      <c r="G741" t="s">
        <v>3801</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3601</v>
      </c>
      <c r="F742">
        <v>8</v>
      </c>
      <c r="G742" t="s">
        <v>3802</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3601</v>
      </c>
      <c r="F743">
        <v>8</v>
      </c>
      <c r="G743" t="s">
        <v>3803</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3601</v>
      </c>
      <c r="F744">
        <v>8</v>
      </c>
      <c r="G744" t="s">
        <v>3804</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3601</v>
      </c>
      <c r="F745">
        <v>8</v>
      </c>
      <c r="G745" t="s">
        <v>3805</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3601</v>
      </c>
      <c r="F746">
        <v>8</v>
      </c>
      <c r="G746" t="s">
        <v>3806</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3601</v>
      </c>
      <c r="F747">
        <v>8</v>
      </c>
      <c r="G747" t="s">
        <v>3807</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3601</v>
      </c>
      <c r="F748">
        <v>8</v>
      </c>
      <c r="G748" t="s">
        <v>3808</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3601</v>
      </c>
      <c r="F749">
        <v>8</v>
      </c>
      <c r="G749" t="s">
        <v>3809</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3601</v>
      </c>
      <c r="F750">
        <v>8</v>
      </c>
      <c r="G750" t="s">
        <v>3810</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3601</v>
      </c>
      <c r="F751">
        <v>8</v>
      </c>
      <c r="G751" t="s">
        <v>3811</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3601</v>
      </c>
      <c r="F752">
        <v>8</v>
      </c>
      <c r="G752" t="s">
        <v>3812</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3813</v>
      </c>
      <c r="F753">
        <v>8</v>
      </c>
      <c r="G753" t="s">
        <v>3814</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3813</v>
      </c>
      <c r="F754">
        <v>8</v>
      </c>
      <c r="G754" t="s">
        <v>3815</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3813</v>
      </c>
      <c r="F755">
        <v>8</v>
      </c>
      <c r="G755" t="s">
        <v>3816</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3813</v>
      </c>
      <c r="F756">
        <v>8</v>
      </c>
      <c r="G756" t="s">
        <v>3817</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3813</v>
      </c>
      <c r="F757">
        <v>8</v>
      </c>
      <c r="G757" t="s">
        <v>3818</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3813</v>
      </c>
      <c r="F758">
        <v>8</v>
      </c>
      <c r="G758" t="s">
        <v>3819</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3813</v>
      </c>
      <c r="F759">
        <v>8</v>
      </c>
      <c r="G759" t="s">
        <v>3820</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3813</v>
      </c>
      <c r="F760">
        <v>8</v>
      </c>
      <c r="G760" t="s">
        <v>3821</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3813</v>
      </c>
      <c r="F761">
        <v>8</v>
      </c>
      <c r="G761" t="s">
        <v>3822</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3813</v>
      </c>
      <c r="F762">
        <v>8</v>
      </c>
      <c r="G762" t="s">
        <v>3823</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3813</v>
      </c>
      <c r="F763">
        <v>8</v>
      </c>
      <c r="G763" t="s">
        <v>3824</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3813</v>
      </c>
      <c r="F764">
        <v>8</v>
      </c>
      <c r="G764" t="s">
        <v>3825</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3813</v>
      </c>
      <c r="F765">
        <v>8</v>
      </c>
      <c r="G765" t="s">
        <v>3826</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3813</v>
      </c>
      <c r="F766">
        <v>8</v>
      </c>
      <c r="G766" t="s">
        <v>3827</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3813</v>
      </c>
      <c r="F767">
        <v>8</v>
      </c>
      <c r="G767" t="s">
        <v>3828</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3813</v>
      </c>
      <c r="F768">
        <v>8</v>
      </c>
      <c r="G768" t="s">
        <v>3829</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3813</v>
      </c>
      <c r="F769">
        <v>8</v>
      </c>
      <c r="G769" t="s">
        <v>3830</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3813</v>
      </c>
      <c r="F770">
        <v>8</v>
      </c>
      <c r="G770" t="s">
        <v>3831</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3813</v>
      </c>
      <c r="F771">
        <v>8</v>
      </c>
      <c r="G771" t="s">
        <v>3832</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3813</v>
      </c>
      <c r="F772">
        <v>8</v>
      </c>
      <c r="G772" t="s">
        <v>3833</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3813</v>
      </c>
      <c r="F773">
        <v>8</v>
      </c>
      <c r="G773" t="s">
        <v>3834</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3813</v>
      </c>
      <c r="F774">
        <v>8</v>
      </c>
      <c r="G774" t="s">
        <v>3835</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3813</v>
      </c>
      <c r="F775">
        <v>8</v>
      </c>
      <c r="G775" t="s">
        <v>3836</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3813</v>
      </c>
      <c r="F776">
        <v>8</v>
      </c>
      <c r="G776" t="s">
        <v>3837</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3813</v>
      </c>
      <c r="F777">
        <v>8</v>
      </c>
      <c r="G777" t="s">
        <v>3838</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3813</v>
      </c>
      <c r="F778">
        <v>8</v>
      </c>
      <c r="G778" t="s">
        <v>3839</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3813</v>
      </c>
      <c r="F779">
        <v>8</v>
      </c>
      <c r="G779" t="s">
        <v>3840</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3813</v>
      </c>
      <c r="F780">
        <v>8</v>
      </c>
      <c r="G780" t="s">
        <v>3841</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3813</v>
      </c>
      <c r="F781">
        <v>8</v>
      </c>
      <c r="G781" t="s">
        <v>3842</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3813</v>
      </c>
      <c r="F782">
        <v>8</v>
      </c>
      <c r="G782" t="s">
        <v>3843</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3813</v>
      </c>
      <c r="F783">
        <v>8</v>
      </c>
      <c r="G783" t="s">
        <v>3844</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3813</v>
      </c>
      <c r="F784">
        <v>8</v>
      </c>
      <c r="G784" t="s">
        <v>3845</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3813</v>
      </c>
      <c r="F785">
        <v>8</v>
      </c>
      <c r="G785" t="s">
        <v>3846</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3813</v>
      </c>
      <c r="F786">
        <v>8</v>
      </c>
      <c r="G786" t="s">
        <v>3847</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3813</v>
      </c>
      <c r="F787">
        <v>8</v>
      </c>
      <c r="G787" t="s">
        <v>3848</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3813</v>
      </c>
      <c r="F788">
        <v>8</v>
      </c>
      <c r="G788" t="s">
        <v>3849</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3813</v>
      </c>
      <c r="F789">
        <v>8</v>
      </c>
      <c r="G789" t="s">
        <v>3850</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3813</v>
      </c>
      <c r="F790">
        <v>8</v>
      </c>
      <c r="G790" t="s">
        <v>3851</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3813</v>
      </c>
      <c r="F791">
        <v>8</v>
      </c>
      <c r="G791" t="s">
        <v>3852</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3813</v>
      </c>
      <c r="F792">
        <v>8</v>
      </c>
      <c r="G792" t="s">
        <v>3853</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3813</v>
      </c>
      <c r="F793">
        <v>8</v>
      </c>
      <c r="G793" t="s">
        <v>3854</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3813</v>
      </c>
      <c r="F794">
        <v>8</v>
      </c>
      <c r="G794" t="s">
        <v>3855</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3813</v>
      </c>
      <c r="F795">
        <v>8</v>
      </c>
      <c r="G795" t="s">
        <v>3856</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3813</v>
      </c>
      <c r="F796">
        <v>8</v>
      </c>
      <c r="G796" t="s">
        <v>3857</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3813</v>
      </c>
      <c r="F797">
        <v>8</v>
      </c>
      <c r="G797" t="s">
        <v>3858</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3813</v>
      </c>
      <c r="F798">
        <v>8</v>
      </c>
      <c r="G798" t="s">
        <v>3859</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3813</v>
      </c>
      <c r="F799">
        <v>8</v>
      </c>
      <c r="G799" t="s">
        <v>3860</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3813</v>
      </c>
      <c r="F800">
        <v>8</v>
      </c>
      <c r="G800" t="s">
        <v>3861</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3813</v>
      </c>
      <c r="F801">
        <v>8</v>
      </c>
      <c r="G801" t="s">
        <v>3862</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3813</v>
      </c>
      <c r="F802">
        <v>8</v>
      </c>
      <c r="G802" t="s">
        <v>3863</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3813</v>
      </c>
      <c r="F803">
        <v>8</v>
      </c>
      <c r="G803" t="s">
        <v>3864</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3813</v>
      </c>
      <c r="F804">
        <v>8</v>
      </c>
      <c r="G804" t="s">
        <v>3865</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3813</v>
      </c>
      <c r="F805">
        <v>8</v>
      </c>
      <c r="G805" t="s">
        <v>3866</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3813</v>
      </c>
      <c r="F806">
        <v>8</v>
      </c>
      <c r="G806" t="s">
        <v>3867</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3813</v>
      </c>
      <c r="F807">
        <v>8</v>
      </c>
      <c r="G807" t="s">
        <v>3868</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3813</v>
      </c>
      <c r="F808">
        <v>8</v>
      </c>
      <c r="G808" t="s">
        <v>3869</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3813</v>
      </c>
      <c r="F809">
        <v>8</v>
      </c>
      <c r="G809" t="s">
        <v>3870</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3813</v>
      </c>
      <c r="F810">
        <v>8</v>
      </c>
      <c r="G810" t="s">
        <v>3871</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3813</v>
      </c>
      <c r="F811">
        <v>8</v>
      </c>
      <c r="G811" t="s">
        <v>3872</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3813</v>
      </c>
      <c r="F812">
        <v>8</v>
      </c>
      <c r="G812" t="s">
        <v>3873</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3813</v>
      </c>
      <c r="F813">
        <v>8</v>
      </c>
      <c r="G813" t="s">
        <v>3874</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3813</v>
      </c>
      <c r="F814">
        <v>8</v>
      </c>
      <c r="G814" t="s">
        <v>3875</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3813</v>
      </c>
      <c r="F815">
        <v>8</v>
      </c>
      <c r="G815" t="s">
        <v>3876</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3813</v>
      </c>
      <c r="F816">
        <v>8</v>
      </c>
      <c r="G816" t="s">
        <v>3877</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3813</v>
      </c>
      <c r="F817">
        <v>8</v>
      </c>
      <c r="G817" t="s">
        <v>3878</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3813</v>
      </c>
      <c r="F818">
        <v>8</v>
      </c>
      <c r="G818" t="s">
        <v>3879</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3813</v>
      </c>
      <c r="F819">
        <v>8</v>
      </c>
      <c r="G819" t="s">
        <v>3880</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3813</v>
      </c>
      <c r="F820">
        <v>8</v>
      </c>
      <c r="G820" t="s">
        <v>3881</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3813</v>
      </c>
      <c r="F821">
        <v>8</v>
      </c>
      <c r="G821" t="s">
        <v>3882</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3813</v>
      </c>
      <c r="F822">
        <v>8</v>
      </c>
      <c r="G822" t="s">
        <v>3883</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3813</v>
      </c>
      <c r="F823">
        <v>8</v>
      </c>
      <c r="G823" t="s">
        <v>3884</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3813</v>
      </c>
      <c r="F824">
        <v>8</v>
      </c>
      <c r="G824" t="s">
        <v>3885</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3813</v>
      </c>
      <c r="F825">
        <v>8</v>
      </c>
      <c r="G825" t="s">
        <v>3886</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3813</v>
      </c>
      <c r="F826">
        <v>8</v>
      </c>
      <c r="G826" t="s">
        <v>3887</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3813</v>
      </c>
      <c r="F827">
        <v>8</v>
      </c>
      <c r="G827" t="s">
        <v>3888</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3813</v>
      </c>
      <c r="F828">
        <v>8</v>
      </c>
      <c r="G828" t="s">
        <v>3889</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3813</v>
      </c>
      <c r="F829">
        <v>8</v>
      </c>
      <c r="G829" t="s">
        <v>3890</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3813</v>
      </c>
      <c r="F830">
        <v>8</v>
      </c>
      <c r="G830" t="s">
        <v>3891</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3813</v>
      </c>
      <c r="F831">
        <v>8</v>
      </c>
      <c r="G831" t="s">
        <v>3892</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3813</v>
      </c>
      <c r="F832">
        <v>8</v>
      </c>
      <c r="G832" t="s">
        <v>3893</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3813</v>
      </c>
      <c r="F833">
        <v>8</v>
      </c>
      <c r="G833" t="s">
        <v>3894</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3813</v>
      </c>
      <c r="F834">
        <v>8</v>
      </c>
      <c r="G834" t="s">
        <v>3895</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3813</v>
      </c>
      <c r="F835">
        <v>8</v>
      </c>
      <c r="G835" t="s">
        <v>3896</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3813</v>
      </c>
      <c r="F836">
        <v>8</v>
      </c>
      <c r="G836" t="s">
        <v>3897</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3813</v>
      </c>
      <c r="F837">
        <v>8</v>
      </c>
      <c r="G837" t="s">
        <v>3898</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3813</v>
      </c>
      <c r="F838">
        <v>8</v>
      </c>
      <c r="G838" t="s">
        <v>3899</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3813</v>
      </c>
      <c r="F839">
        <v>8</v>
      </c>
      <c r="G839" t="s">
        <v>3900</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3813</v>
      </c>
      <c r="F840">
        <v>8</v>
      </c>
      <c r="G840" t="s">
        <v>3901</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3813</v>
      </c>
      <c r="F841">
        <v>8</v>
      </c>
      <c r="G841" t="s">
        <v>3902</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3813</v>
      </c>
      <c r="F842">
        <v>8</v>
      </c>
      <c r="G842" t="s">
        <v>3903</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3601</v>
      </c>
      <c r="F843">
        <v>8</v>
      </c>
      <c r="G843" t="s">
        <v>3904</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3601</v>
      </c>
      <c r="F844">
        <v>8</v>
      </c>
      <c r="G844" t="s">
        <v>3905</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3601</v>
      </c>
      <c r="F845">
        <v>8</v>
      </c>
      <c r="G845" t="s">
        <v>3906</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3601</v>
      </c>
      <c r="F846">
        <v>8</v>
      </c>
      <c r="G846" t="s">
        <v>3907</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3601</v>
      </c>
      <c r="F847">
        <v>8</v>
      </c>
      <c r="G847" t="s">
        <v>3908</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3601</v>
      </c>
      <c r="F848">
        <v>8</v>
      </c>
      <c r="G848" t="s">
        <v>3909</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3601</v>
      </c>
      <c r="F849">
        <v>8</v>
      </c>
      <c r="G849" t="s">
        <v>3910</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3601</v>
      </c>
      <c r="F850">
        <v>8</v>
      </c>
      <c r="G850" t="s">
        <v>3911</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3601</v>
      </c>
      <c r="F851">
        <v>8</v>
      </c>
      <c r="G851" t="s">
        <v>3912</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3601</v>
      </c>
      <c r="F852">
        <v>8</v>
      </c>
      <c r="G852" t="s">
        <v>3913</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3601</v>
      </c>
      <c r="F853">
        <v>8</v>
      </c>
      <c r="G853" t="s">
        <v>3914</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3601</v>
      </c>
      <c r="F854">
        <v>8</v>
      </c>
      <c r="G854" t="s">
        <v>3915</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3601</v>
      </c>
      <c r="F855">
        <v>8</v>
      </c>
      <c r="G855" t="s">
        <v>3916</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3601</v>
      </c>
      <c r="F856">
        <v>8</v>
      </c>
      <c r="G856" t="s">
        <v>3917</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3601</v>
      </c>
      <c r="F857">
        <v>8</v>
      </c>
      <c r="G857" t="s">
        <v>3918</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3601</v>
      </c>
      <c r="F858">
        <v>8</v>
      </c>
      <c r="G858" t="s">
        <v>3919</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3601</v>
      </c>
      <c r="F859">
        <v>8</v>
      </c>
      <c r="G859" t="s">
        <v>3920</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3601</v>
      </c>
      <c r="F860">
        <v>8</v>
      </c>
      <c r="G860" t="s">
        <v>3921</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3601</v>
      </c>
      <c r="F861">
        <v>8</v>
      </c>
      <c r="G861" t="s">
        <v>3922</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3601</v>
      </c>
      <c r="F862">
        <v>8</v>
      </c>
      <c r="G862" t="s">
        <v>3923</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3601</v>
      </c>
      <c r="F863">
        <v>8</v>
      </c>
      <c r="G863" t="s">
        <v>3924</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3601</v>
      </c>
      <c r="F864">
        <v>8</v>
      </c>
      <c r="G864" t="s">
        <v>3925</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3601</v>
      </c>
      <c r="F865">
        <v>8</v>
      </c>
      <c r="G865" t="s">
        <v>3926</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3601</v>
      </c>
      <c r="F866">
        <v>8</v>
      </c>
      <c r="G866" t="s">
        <v>3927</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3601</v>
      </c>
      <c r="F867">
        <v>8</v>
      </c>
      <c r="G867" t="s">
        <v>3928</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3601</v>
      </c>
      <c r="F868">
        <v>8</v>
      </c>
      <c r="G868" t="s">
        <v>3929</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3601</v>
      </c>
      <c r="F869">
        <v>8</v>
      </c>
      <c r="G869" t="s">
        <v>3930</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3601</v>
      </c>
      <c r="F870">
        <v>8</v>
      </c>
      <c r="G870" t="s">
        <v>3931</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3601</v>
      </c>
      <c r="F871">
        <v>8</v>
      </c>
      <c r="G871" t="s">
        <v>3932</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3601</v>
      </c>
      <c r="F872">
        <v>8</v>
      </c>
      <c r="G872" t="s">
        <v>3933</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4206</v>
      </c>
    </row>
    <row r="2" spans="1:148" ht="15.75" x14ac:dyDescent="0.25">
      <c r="A2" s="159" t="s">
        <v>4200</v>
      </c>
    </row>
    <row r="3" spans="1:148" x14ac:dyDescent="0.25">
      <c r="A3" s="284" t="s">
        <v>225</v>
      </c>
      <c r="B3" s="404" t="s">
        <v>2221</v>
      </c>
      <c r="C3" s="284" t="s">
        <v>108</v>
      </c>
      <c r="D3" s="284" t="s">
        <v>4090</v>
      </c>
      <c r="E3" s="284" t="s">
        <v>4091</v>
      </c>
      <c r="F3" s="284" t="s">
        <v>4092</v>
      </c>
      <c r="G3" s="284" t="s">
        <v>4093</v>
      </c>
      <c r="H3" s="284" t="s">
        <v>4094</v>
      </c>
      <c r="I3" s="284" t="s">
        <v>4095</v>
      </c>
      <c r="J3" s="284" t="s">
        <v>2821</v>
      </c>
      <c r="K3" s="284" t="s">
        <v>4096</v>
      </c>
      <c r="L3" s="284" t="s">
        <v>4097</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2249</v>
      </c>
      <c r="AB3" s="284" t="s">
        <v>4098</v>
      </c>
      <c r="AC3" s="284" t="s">
        <v>239</v>
      </c>
      <c r="AD3" s="284" t="s">
        <v>4099</v>
      </c>
      <c r="AE3" s="284" t="s">
        <v>239</v>
      </c>
      <c r="AF3" s="284" t="s">
        <v>4100</v>
      </c>
      <c r="AG3" s="284" t="s">
        <v>239</v>
      </c>
      <c r="AH3" s="284" t="s">
        <v>4101</v>
      </c>
      <c r="AI3" s="284" t="s">
        <v>239</v>
      </c>
      <c r="AJ3" s="284" t="s">
        <v>4102</v>
      </c>
      <c r="AK3" s="284" t="s">
        <v>239</v>
      </c>
      <c r="AL3" s="284" t="s">
        <v>4103</v>
      </c>
      <c r="AM3" s="284" t="s">
        <v>239</v>
      </c>
      <c r="AN3" s="284" t="s">
        <v>4104</v>
      </c>
      <c r="AO3" s="284" t="s">
        <v>239</v>
      </c>
      <c r="AP3" s="284" t="s">
        <v>4105</v>
      </c>
      <c r="AQ3" s="284" t="s">
        <v>239</v>
      </c>
      <c r="AR3" s="284" t="s">
        <v>4106</v>
      </c>
      <c r="AS3" s="284" t="s">
        <v>239</v>
      </c>
      <c r="AT3" s="284" t="s">
        <v>4107</v>
      </c>
      <c r="AU3" s="284" t="s">
        <v>239</v>
      </c>
      <c r="AV3" s="284" t="s">
        <v>4108</v>
      </c>
      <c r="AW3" s="284" t="s">
        <v>239</v>
      </c>
      <c r="AX3" s="284" t="s">
        <v>2413</v>
      </c>
      <c r="AY3" s="284" t="s">
        <v>239</v>
      </c>
      <c r="AZ3" s="284" t="s">
        <v>4109</v>
      </c>
      <c r="BA3" s="284" t="s">
        <v>239</v>
      </c>
      <c r="BB3" s="284" t="s">
        <v>4110</v>
      </c>
      <c r="BC3" s="284" t="s">
        <v>4111</v>
      </c>
      <c r="BD3" s="284" t="s">
        <v>4112</v>
      </c>
      <c r="BE3" s="284" t="s">
        <v>4113</v>
      </c>
      <c r="BF3" s="284" t="s">
        <v>4114</v>
      </c>
      <c r="BG3" s="284" t="s">
        <v>2248</v>
      </c>
      <c r="BH3" s="284" t="s">
        <v>2248</v>
      </c>
      <c r="BI3" s="284" t="s">
        <v>2248</v>
      </c>
      <c r="BJ3" s="284" t="s">
        <v>2248</v>
      </c>
      <c r="BK3" s="284" t="s">
        <v>2248</v>
      </c>
      <c r="BL3" s="284" t="s">
        <v>2248</v>
      </c>
      <c r="BM3" s="284" t="s">
        <v>2292</v>
      </c>
      <c r="BN3" s="284" t="s">
        <v>2292</v>
      </c>
      <c r="BO3" s="284" t="s">
        <v>4115</v>
      </c>
      <c r="BP3" s="284" t="s">
        <v>4115</v>
      </c>
      <c r="BQ3" s="284" t="s">
        <v>4115</v>
      </c>
      <c r="BR3" s="284" t="s">
        <v>4115</v>
      </c>
      <c r="BS3" s="284" t="s">
        <v>4115</v>
      </c>
      <c r="BT3" s="284" t="s">
        <v>4116</v>
      </c>
      <c r="BU3" s="284" t="s">
        <v>4117</v>
      </c>
      <c r="BV3" s="284" t="s">
        <v>4117</v>
      </c>
      <c r="BW3" s="284" t="s">
        <v>4118</v>
      </c>
      <c r="BX3" s="284" t="s">
        <v>4117</v>
      </c>
      <c r="BY3" s="284" t="s">
        <v>4117</v>
      </c>
      <c r="BZ3" s="284" t="s">
        <v>4119</v>
      </c>
      <c r="CA3" s="284" t="s">
        <v>108</v>
      </c>
      <c r="CB3" s="284" t="s">
        <v>108</v>
      </c>
      <c r="CC3" s="284" t="s">
        <v>1287</v>
      </c>
      <c r="CD3" s="284" t="s">
        <v>1287</v>
      </c>
      <c r="CE3" s="284" t="s">
        <v>1287</v>
      </c>
      <c r="CF3" s="284" t="s">
        <v>4120</v>
      </c>
      <c r="CG3" s="284" t="s">
        <v>4120</v>
      </c>
      <c r="CH3" s="284" t="s">
        <v>4121</v>
      </c>
      <c r="CI3" s="284" t="s">
        <v>4122</v>
      </c>
      <c r="CJ3" s="284" t="s">
        <v>4123</v>
      </c>
      <c r="CK3" s="284" t="s">
        <v>4123</v>
      </c>
      <c r="CL3" s="284" t="s">
        <v>4123</v>
      </c>
      <c r="CM3" s="284" t="s">
        <v>4124</v>
      </c>
      <c r="CN3" s="284" t="s">
        <v>4124</v>
      </c>
      <c r="CO3" s="284" t="s">
        <v>4125</v>
      </c>
      <c r="CP3" s="284" t="s">
        <v>4124</v>
      </c>
      <c r="CQ3" s="284" t="s">
        <v>4124</v>
      </c>
      <c r="CR3" s="284" t="s">
        <v>4124</v>
      </c>
      <c r="CS3" s="284" t="s">
        <v>4124</v>
      </c>
      <c r="CT3" s="284" t="s">
        <v>4124</v>
      </c>
      <c r="CU3" s="284" t="s">
        <v>4126</v>
      </c>
      <c r="CV3" s="284" t="s">
        <v>4126</v>
      </c>
      <c r="CW3" s="284" t="s">
        <v>4127</v>
      </c>
      <c r="CX3" s="284" t="s">
        <v>4126</v>
      </c>
      <c r="CY3" s="284" t="s">
        <v>4126</v>
      </c>
      <c r="CZ3" s="284" t="s">
        <v>4126</v>
      </c>
      <c r="DA3" s="284" t="s">
        <v>4126</v>
      </c>
      <c r="DB3" s="284" t="s">
        <v>4126</v>
      </c>
      <c r="DC3" s="284" t="s">
        <v>4128</v>
      </c>
      <c r="DD3" s="284" t="s">
        <v>4128</v>
      </c>
      <c r="DE3" s="284" t="s">
        <v>4128</v>
      </c>
      <c r="DF3" s="284" t="s">
        <v>4128</v>
      </c>
      <c r="DG3" s="284" t="s">
        <v>4128</v>
      </c>
      <c r="DH3" s="284" t="s">
        <v>4128</v>
      </c>
      <c r="DI3" s="284" t="s">
        <v>4128</v>
      </c>
      <c r="DJ3" s="284" t="s">
        <v>4128</v>
      </c>
      <c r="DK3" s="284" t="s">
        <v>4128</v>
      </c>
      <c r="DL3" s="284" t="s">
        <v>4128</v>
      </c>
      <c r="DM3" s="284" t="s">
        <v>4128</v>
      </c>
      <c r="DN3" s="284" t="s">
        <v>4128</v>
      </c>
      <c r="DO3" s="284" t="s">
        <v>4128</v>
      </c>
      <c r="DP3" s="284" t="s">
        <v>4128</v>
      </c>
      <c r="DQ3" s="284" t="s">
        <v>4128</v>
      </c>
      <c r="DR3" s="284" t="s">
        <v>973</v>
      </c>
      <c r="DS3" s="284" t="s">
        <v>107</v>
      </c>
      <c r="DT3" s="284" t="s">
        <v>4129</v>
      </c>
      <c r="DU3" s="284" t="s">
        <v>4130</v>
      </c>
      <c r="DV3" s="284" t="s">
        <v>4131</v>
      </c>
      <c r="DW3" s="284" t="s">
        <v>2422</v>
      </c>
      <c r="DX3" s="284" t="s">
        <v>4132</v>
      </c>
      <c r="DY3" s="284" t="s">
        <v>4133</v>
      </c>
      <c r="DZ3" s="284" t="s">
        <v>4134</v>
      </c>
      <c r="EA3" s="284" t="s">
        <v>4134</v>
      </c>
      <c r="EB3" s="284" t="s">
        <v>4134</v>
      </c>
      <c r="EC3" s="284" t="s">
        <v>4134</v>
      </c>
      <c r="ED3" s="284" t="s">
        <v>4134</v>
      </c>
      <c r="EE3" s="284" t="s">
        <v>4134</v>
      </c>
      <c r="EF3" s="284" t="s">
        <v>4135</v>
      </c>
      <c r="EG3" s="284" t="s">
        <v>4135</v>
      </c>
      <c r="EH3" s="284" t="s">
        <v>4136</v>
      </c>
      <c r="EI3" s="284" t="s">
        <v>4136</v>
      </c>
      <c r="EJ3" s="284" t="s">
        <v>4137</v>
      </c>
      <c r="EK3" s="284" t="s">
        <v>4138</v>
      </c>
      <c r="EL3" s="284" t="s">
        <v>4137</v>
      </c>
      <c r="EM3" s="284" t="s">
        <v>4139</v>
      </c>
      <c r="EN3" s="284" t="s">
        <v>4140</v>
      </c>
      <c r="EO3" s="284" t="s">
        <v>4141</v>
      </c>
      <c r="EP3" s="284" t="s">
        <v>4141</v>
      </c>
      <c r="EQ3" s="284" t="s">
        <v>4142</v>
      </c>
      <c r="ER3" s="284" t="s">
        <v>4142</v>
      </c>
    </row>
    <row r="4" spans="1:148" ht="15.75" thickBot="1" x14ac:dyDescent="0.3">
      <c r="A4" s="88" t="s">
        <v>2375</v>
      </c>
      <c r="B4" s="823" t="s">
        <v>2221</v>
      </c>
      <c r="C4" s="27" t="s">
        <v>4144</v>
      </c>
      <c r="D4" s="27" t="s">
        <v>4144</v>
      </c>
      <c r="E4" s="27" t="s">
        <v>4144</v>
      </c>
      <c r="F4" s="27" t="s">
        <v>4144</v>
      </c>
      <c r="G4" s="27" t="s">
        <v>4144</v>
      </c>
      <c r="H4" s="27" t="s">
        <v>4144</v>
      </c>
      <c r="I4" s="27" t="s">
        <v>4144</v>
      </c>
      <c r="J4" s="27" t="s">
        <v>4144</v>
      </c>
      <c r="K4" s="27" t="s">
        <v>4144</v>
      </c>
      <c r="L4" s="27" t="s">
        <v>4144</v>
      </c>
      <c r="M4" s="27" t="s">
        <v>4144</v>
      </c>
      <c r="N4" s="27" t="s">
        <v>2203</v>
      </c>
      <c r="O4" s="27" t="s">
        <v>4145</v>
      </c>
      <c r="P4" s="27" t="s">
        <v>2203</v>
      </c>
      <c r="Q4" s="27" t="s">
        <v>2203</v>
      </c>
      <c r="R4" s="27" t="s">
        <v>2417</v>
      </c>
      <c r="S4" s="27" t="s">
        <v>4146</v>
      </c>
      <c r="T4" s="27" t="s">
        <v>4147</v>
      </c>
      <c r="U4" s="27" t="s">
        <v>4148</v>
      </c>
      <c r="V4" s="27" t="s">
        <v>4149</v>
      </c>
      <c r="W4" s="27" t="s">
        <v>4150</v>
      </c>
      <c r="X4" s="27" t="s">
        <v>2425</v>
      </c>
      <c r="Y4" s="27" t="s">
        <v>4151</v>
      </c>
      <c r="Z4" s="27" t="s">
        <v>2424</v>
      </c>
      <c r="AA4" s="27" t="s">
        <v>2417</v>
      </c>
      <c r="AB4" s="27" t="s">
        <v>2435</v>
      </c>
      <c r="AC4" s="27" t="s">
        <v>4098</v>
      </c>
      <c r="AD4" s="27" t="s">
        <v>4152</v>
      </c>
      <c r="AE4" s="27" t="s">
        <v>4153</v>
      </c>
      <c r="AF4" s="27" t="s">
        <v>4154</v>
      </c>
      <c r="AG4" s="27" t="s">
        <v>4100</v>
      </c>
      <c r="AH4" s="27" t="s">
        <v>2436</v>
      </c>
      <c r="AI4" s="27" t="s">
        <v>4101</v>
      </c>
      <c r="AJ4" s="27" t="s">
        <v>2437</v>
      </c>
      <c r="AK4" s="27" t="s">
        <v>4102</v>
      </c>
      <c r="AL4" s="27" t="s">
        <v>4155</v>
      </c>
      <c r="AM4" s="27" t="s">
        <v>4103</v>
      </c>
      <c r="AN4" s="27" t="s">
        <v>4156</v>
      </c>
      <c r="AO4" s="27" t="s">
        <v>4104</v>
      </c>
      <c r="AP4" s="27" t="s">
        <v>4157</v>
      </c>
      <c r="AQ4" s="27" t="s">
        <v>4105</v>
      </c>
      <c r="AR4" s="27" t="s">
        <v>4158</v>
      </c>
      <c r="AS4" s="27" t="s">
        <v>4106</v>
      </c>
      <c r="AT4" s="27" t="s">
        <v>4159</v>
      </c>
      <c r="AU4" s="27" t="s">
        <v>4107</v>
      </c>
      <c r="AV4" s="27" t="s">
        <v>4160</v>
      </c>
      <c r="AW4" s="27" t="s">
        <v>4108</v>
      </c>
      <c r="AX4" s="27" t="s">
        <v>2417</v>
      </c>
      <c r="AY4" s="27" t="s">
        <v>2413</v>
      </c>
      <c r="AZ4" s="27" t="s">
        <v>4161</v>
      </c>
      <c r="BA4" s="27" t="s">
        <v>4109</v>
      </c>
      <c r="BB4" s="27" t="s">
        <v>4098</v>
      </c>
      <c r="BC4" s="27" t="s">
        <v>2413</v>
      </c>
      <c r="BD4" s="27" t="s">
        <v>4099</v>
      </c>
      <c r="BE4" s="27" t="s">
        <v>4098</v>
      </c>
      <c r="BF4" s="27" t="s">
        <v>4162</v>
      </c>
      <c r="BG4" s="27" t="s">
        <v>2203</v>
      </c>
      <c r="BH4" s="27" t="s">
        <v>4143</v>
      </c>
      <c r="BI4" s="27" t="s">
        <v>2423</v>
      </c>
      <c r="BJ4" s="27" t="s">
        <v>4122</v>
      </c>
      <c r="BK4" s="27" t="s">
        <v>4163</v>
      </c>
      <c r="BL4" s="27" t="s">
        <v>4164</v>
      </c>
      <c r="BM4" s="27" t="s">
        <v>2203</v>
      </c>
      <c r="BN4" s="27" t="s">
        <v>53</v>
      </c>
      <c r="BO4" s="27" t="s">
        <v>4122</v>
      </c>
      <c r="BP4" s="27" t="s">
        <v>4165</v>
      </c>
      <c r="BQ4" s="27" t="s">
        <v>4166</v>
      </c>
      <c r="BR4" s="27" t="s">
        <v>4133</v>
      </c>
      <c r="BS4" s="27" t="s">
        <v>53</v>
      </c>
      <c r="BT4" s="27" t="s">
        <v>4167</v>
      </c>
      <c r="BU4" s="27" t="s">
        <v>2203</v>
      </c>
      <c r="BV4" s="27" t="s">
        <v>2221</v>
      </c>
      <c r="BW4" s="27" t="s">
        <v>2423</v>
      </c>
      <c r="BX4" s="27" t="s">
        <v>4133</v>
      </c>
      <c r="BY4" s="27" t="s">
        <v>4122</v>
      </c>
      <c r="BZ4" s="27" t="s">
        <v>4163</v>
      </c>
      <c r="CA4" s="27" t="s">
        <v>2203</v>
      </c>
      <c r="CB4" s="27" t="s">
        <v>2423</v>
      </c>
      <c r="CC4" s="27" t="s">
        <v>2203</v>
      </c>
      <c r="CD4" s="27" t="s">
        <v>2423</v>
      </c>
      <c r="CE4" s="27" t="s">
        <v>4122</v>
      </c>
      <c r="CF4" s="27" t="s">
        <v>2423</v>
      </c>
      <c r="CG4" s="27" t="s">
        <v>4132</v>
      </c>
      <c r="CH4" s="27" t="s">
        <v>2221</v>
      </c>
      <c r="CI4" s="27" t="s">
        <v>4168</v>
      </c>
      <c r="CJ4" s="27" t="s">
        <v>2203</v>
      </c>
      <c r="CK4" s="27" t="s">
        <v>2423</v>
      </c>
      <c r="CL4" s="27" t="s">
        <v>4133</v>
      </c>
      <c r="CM4" s="27" t="s">
        <v>2423</v>
      </c>
      <c r="CN4" s="27" t="s">
        <v>4132</v>
      </c>
      <c r="CO4" s="27" t="s">
        <v>4169</v>
      </c>
      <c r="CP4" s="27" t="s">
        <v>4170</v>
      </c>
      <c r="CQ4" s="27" t="s">
        <v>4171</v>
      </c>
      <c r="CR4" s="27" t="s">
        <v>4166</v>
      </c>
      <c r="CS4" s="27" t="s">
        <v>4172</v>
      </c>
      <c r="CT4" s="27" t="s">
        <v>4133</v>
      </c>
      <c r="CU4" s="27" t="s">
        <v>2423</v>
      </c>
      <c r="CV4" s="27" t="s">
        <v>4132</v>
      </c>
      <c r="CW4" s="27" t="s">
        <v>4169</v>
      </c>
      <c r="CX4" s="27" t="s">
        <v>4170</v>
      </c>
      <c r="CY4" s="27" t="s">
        <v>4171</v>
      </c>
      <c r="CZ4" s="27" t="s">
        <v>4166</v>
      </c>
      <c r="DA4" s="27" t="s">
        <v>4172</v>
      </c>
      <c r="DB4" s="27" t="s">
        <v>4133</v>
      </c>
      <c r="DC4" s="27" t="s">
        <v>4173</v>
      </c>
      <c r="DD4" s="27" t="s">
        <v>4174</v>
      </c>
      <c r="DE4" s="27" t="s">
        <v>2203</v>
      </c>
      <c r="DF4" s="27" t="s">
        <v>4175</v>
      </c>
      <c r="DG4" s="27" t="s">
        <v>2423</v>
      </c>
      <c r="DH4" s="27" t="s">
        <v>4132</v>
      </c>
      <c r="DI4" s="27" t="s">
        <v>2221</v>
      </c>
      <c r="DJ4" s="27" t="s">
        <v>2248</v>
      </c>
      <c r="DK4" s="27" t="s">
        <v>4176</v>
      </c>
      <c r="DL4" s="27" t="s">
        <v>4162</v>
      </c>
      <c r="DM4" s="27" t="s">
        <v>4177</v>
      </c>
      <c r="DN4" s="27" t="s">
        <v>4178</v>
      </c>
      <c r="DO4" s="27" t="s">
        <v>108</v>
      </c>
      <c r="DP4" s="27" t="s">
        <v>4119</v>
      </c>
      <c r="DQ4" s="27" t="s">
        <v>232</v>
      </c>
      <c r="DR4" s="27" t="s">
        <v>4179</v>
      </c>
      <c r="DS4" s="27" t="s">
        <v>4180</v>
      </c>
      <c r="DT4" s="27" t="s">
        <v>2825</v>
      </c>
      <c r="DU4" s="27" t="s">
        <v>4169</v>
      </c>
      <c r="DV4" s="27" t="s">
        <v>2423</v>
      </c>
      <c r="DW4" s="27" t="s">
        <v>4181</v>
      </c>
      <c r="DX4" s="27" t="s">
        <v>2423</v>
      </c>
      <c r="DY4" s="27" t="s">
        <v>4172</v>
      </c>
      <c r="DZ4" s="27" t="s">
        <v>4182</v>
      </c>
      <c r="EA4" s="27" t="s">
        <v>4183</v>
      </c>
      <c r="EB4" s="27" t="s">
        <v>4184</v>
      </c>
      <c r="EC4" s="27" t="s">
        <v>4185</v>
      </c>
      <c r="ED4" s="27" t="s">
        <v>4186</v>
      </c>
      <c r="EE4" s="27" t="s">
        <v>4187</v>
      </c>
      <c r="EF4" s="27" t="s">
        <v>4182</v>
      </c>
      <c r="EG4" s="27" t="s">
        <v>4188</v>
      </c>
      <c r="EH4" s="27" t="s">
        <v>4182</v>
      </c>
      <c r="EI4" s="27" t="s">
        <v>4189</v>
      </c>
      <c r="EJ4" s="27" t="s">
        <v>1345</v>
      </c>
      <c r="EK4" s="27" t="s">
        <v>1345</v>
      </c>
      <c r="EL4" s="27" t="s">
        <v>4182</v>
      </c>
      <c r="EM4" s="27" t="s">
        <v>4182</v>
      </c>
      <c r="EN4" s="27" t="s">
        <v>4190</v>
      </c>
      <c r="EO4" s="27" t="s">
        <v>2423</v>
      </c>
      <c r="EP4" s="27" t="s">
        <v>4132</v>
      </c>
      <c r="EQ4" s="27" t="s">
        <v>2423</v>
      </c>
      <c r="ER4" s="27" t="s">
        <v>4132</v>
      </c>
    </row>
    <row r="5" spans="1:148" ht="15.75" thickTop="1" x14ac:dyDescent="0.25">
      <c r="A5" s="75" t="s">
        <v>4191</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4192</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4193</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4194</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4195</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4196</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4197</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4198</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4199</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4207</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4219</v>
      </c>
      <c r="E16" s="159" t="s">
        <v>4225</v>
      </c>
    </row>
    <row r="17" spans="1:7" x14ac:dyDescent="0.25">
      <c r="A17" s="284" t="s">
        <v>225</v>
      </c>
      <c r="B17" s="404" t="s">
        <v>4223</v>
      </c>
      <c r="C17" s="284" t="s">
        <v>4222</v>
      </c>
      <c r="E17" s="284" t="s">
        <v>225</v>
      </c>
      <c r="F17" s="404" t="s">
        <v>4223</v>
      </c>
      <c r="G17" s="284" t="s">
        <v>4222</v>
      </c>
    </row>
    <row r="18" spans="1:7" ht="15.75" thickBot="1" x14ac:dyDescent="0.3">
      <c r="A18" s="88" t="s">
        <v>2375</v>
      </c>
      <c r="B18" s="823" t="s">
        <v>4208</v>
      </c>
      <c r="C18" s="27" t="s">
        <v>4209</v>
      </c>
      <c r="E18" s="88" t="s">
        <v>2375</v>
      </c>
      <c r="F18" s="823" t="s">
        <v>4208</v>
      </c>
      <c r="G18" s="27" t="s">
        <v>4209</v>
      </c>
    </row>
    <row r="19" spans="1:7" ht="15.75" thickTop="1" x14ac:dyDescent="0.25">
      <c r="A19" s="75" t="s">
        <v>4213</v>
      </c>
      <c r="B19" s="60">
        <v>0.12879739751258229</v>
      </c>
      <c r="C19" s="60">
        <v>4.7737219873676823E-2</v>
      </c>
      <c r="E19" s="75" t="s">
        <v>4213</v>
      </c>
      <c r="F19" s="60">
        <f>B19/$B$33</f>
        <v>73.044723844582336</v>
      </c>
      <c r="G19" s="60">
        <f>C19/$C$34</f>
        <v>3.0316628500670175</v>
      </c>
    </row>
    <row r="20" spans="1:7" x14ac:dyDescent="0.25">
      <c r="A20" s="75" t="s">
        <v>4214</v>
      </c>
      <c r="B20" s="60">
        <v>0.15855233969998242</v>
      </c>
      <c r="C20" s="60">
        <v>3.4717978089946783E-2</v>
      </c>
      <c r="E20" s="75" t="s">
        <v>4214</v>
      </c>
      <c r="F20" s="60">
        <f t="shared" ref="F20:F29" si="0">B20/$B$33</f>
        <v>89.919610892496721</v>
      </c>
      <c r="G20" s="60">
        <f t="shared" ref="G20:G29" si="1">C20/$C$34</f>
        <v>2.2048457091396494</v>
      </c>
    </row>
    <row r="21" spans="1:7" x14ac:dyDescent="0.25">
      <c r="A21" s="75" t="s">
        <v>4210</v>
      </c>
      <c r="B21" s="60">
        <v>3.2628962088253576E-2</v>
      </c>
      <c r="C21" s="60">
        <v>5.7308186845012654E-2</v>
      </c>
      <c r="E21" s="75" t="s">
        <v>4210</v>
      </c>
      <c r="F21" s="60">
        <f t="shared" si="0"/>
        <v>18.504826736417527</v>
      </c>
      <c r="G21" s="60">
        <f t="shared" si="1"/>
        <v>3.6394893025290553</v>
      </c>
    </row>
    <row r="22" spans="1:7" x14ac:dyDescent="0.25">
      <c r="A22" s="75" t="s">
        <v>4211</v>
      </c>
      <c r="B22" s="60">
        <v>6.5164698570540711</v>
      </c>
      <c r="C22" s="60">
        <v>8.2457189182345916E-2</v>
      </c>
      <c r="E22" s="75" t="s">
        <v>4211</v>
      </c>
      <c r="F22" s="60">
        <f t="shared" si="0"/>
        <v>3695.678253930243</v>
      </c>
      <c r="G22" s="60">
        <f t="shared" si="1"/>
        <v>5.2366350161692372</v>
      </c>
    </row>
    <row r="23" spans="1:7" x14ac:dyDescent="0.25">
      <c r="A23" s="75" t="s">
        <v>4212</v>
      </c>
      <c r="B23" s="60">
        <v>7.0776001128952069E-3</v>
      </c>
      <c r="C23" s="60">
        <v>4.113360757532597E-2</v>
      </c>
      <c r="E23" s="75" t="s">
        <v>4212</v>
      </c>
      <c r="F23" s="60">
        <f t="shared" si="0"/>
        <v>4.013911427661502</v>
      </c>
      <c r="G23" s="60">
        <f t="shared" si="1"/>
        <v>2.6122851373696072</v>
      </c>
    </row>
    <row r="24" spans="1:7" x14ac:dyDescent="0.25">
      <c r="A24" s="75" t="s">
        <v>4215</v>
      </c>
      <c r="B24" s="60">
        <v>0.21255438160348045</v>
      </c>
      <c r="C24" s="60">
        <v>0.35943721191341449</v>
      </c>
      <c r="E24" s="75" t="s">
        <v>4215</v>
      </c>
      <c r="F24" s="60">
        <f t="shared" si="0"/>
        <v>120.54572845437704</v>
      </c>
      <c r="G24" s="60">
        <f t="shared" si="1"/>
        <v>22.826893672759546</v>
      </c>
    </row>
    <row r="25" spans="1:7" x14ac:dyDescent="0.25">
      <c r="A25" s="75" t="s">
        <v>4216</v>
      </c>
      <c r="B25" s="60">
        <v>3.2498587889378018E-3</v>
      </c>
      <c r="C25" s="60">
        <v>1.9449317967324929E-2</v>
      </c>
      <c r="E25" s="75" t="s">
        <v>4216</v>
      </c>
      <c r="F25" s="60">
        <f t="shared" si="0"/>
        <v>1.8430887762981412</v>
      </c>
      <c r="G25" s="60">
        <f t="shared" si="1"/>
        <v>1.2351740402292186</v>
      </c>
    </row>
    <row r="26" spans="1:7" x14ac:dyDescent="0.25">
      <c r="A26" s="75" t="s">
        <v>4217</v>
      </c>
      <c r="B26" s="60">
        <v>6.1404599129894349E-3</v>
      </c>
      <c r="C26" s="60">
        <v>8.7886342293415232E-3</v>
      </c>
      <c r="E26" s="75" t="s">
        <v>4217</v>
      </c>
      <c r="F26" s="60">
        <f t="shared" si="0"/>
        <v>3.4824321553486701</v>
      </c>
      <c r="G26" s="60">
        <f t="shared" si="1"/>
        <v>0.55814259746228234</v>
      </c>
    </row>
    <row r="27" spans="1:7" x14ac:dyDescent="0.25">
      <c r="A27" s="75" t="s">
        <v>4220</v>
      </c>
      <c r="B27" s="60">
        <v>1.3684632914310995</v>
      </c>
      <c r="C27" s="60">
        <v>11.625821888673611</v>
      </c>
      <c r="E27" s="75" t="s">
        <v>4220</v>
      </c>
      <c r="F27" s="60">
        <f t="shared" si="0"/>
        <v>776.0950542829703</v>
      </c>
      <c r="G27" s="60">
        <f t="shared" si="1"/>
        <v>738.32477916927905</v>
      </c>
    </row>
    <row r="28" spans="1:7" x14ac:dyDescent="0.25">
      <c r="A28" s="75" t="s">
        <v>4221</v>
      </c>
      <c r="B28" s="60">
        <v>102.15890811150129</v>
      </c>
      <c r="C28" s="60">
        <v>1109.3625174607919</v>
      </c>
      <c r="E28" s="75" t="s">
        <v>4221</v>
      </c>
      <c r="F28" s="60">
        <f t="shared" si="0"/>
        <v>57937.267176067675</v>
      </c>
      <c r="G28" s="60">
        <f t="shared" si="1"/>
        <v>70452.639268531071</v>
      </c>
    </row>
    <row r="29" spans="1:7" x14ac:dyDescent="0.25">
      <c r="A29" s="75" t="s">
        <v>4224</v>
      </c>
      <c r="B29" s="60">
        <v>-102.15890811150129</v>
      </c>
      <c r="C29" s="60">
        <v>-1109.3625174607919</v>
      </c>
      <c r="E29" s="75" t="s">
        <v>4224</v>
      </c>
      <c r="F29" s="60">
        <f t="shared" si="0"/>
        <v>-57937.267176067675</v>
      </c>
      <c r="G29" s="60">
        <f t="shared" si="1"/>
        <v>-70452.639268531071</v>
      </c>
    </row>
    <row r="31" spans="1:7" ht="15.75" x14ac:dyDescent="0.25">
      <c r="A31" s="159" t="s">
        <v>4226</v>
      </c>
    </row>
    <row r="32" spans="1:7" ht="15.75" thickBot="1" x14ac:dyDescent="0.3">
      <c r="A32" s="827" t="s">
        <v>225</v>
      </c>
      <c r="B32" s="88" t="s">
        <v>4218</v>
      </c>
      <c r="C32" s="88" t="s">
        <v>3974</v>
      </c>
    </row>
    <row r="33" spans="1:3" ht="15.75" thickTop="1" x14ac:dyDescent="0.25">
      <c r="A33" t="s">
        <v>4227</v>
      </c>
      <c r="B33" s="60">
        <v>1.7632676356833825E-3</v>
      </c>
      <c r="C33" s="60"/>
    </row>
    <row r="34" spans="1:3" x14ac:dyDescent="0.25">
      <c r="A34" t="s">
        <v>4228</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67" t="s">
        <v>2317</v>
      </c>
      <c r="B1" s="600" t="s">
        <v>2318</v>
      </c>
      <c r="D1" s="1164" t="s">
        <v>580</v>
      </c>
      <c r="E1" s="1165"/>
      <c r="O1" s="1036" t="s">
        <v>947</v>
      </c>
      <c r="P1" s="1036"/>
      <c r="Q1" s="1036"/>
      <c r="R1" s="1036"/>
      <c r="S1" s="1036"/>
      <c r="T1" s="1036"/>
      <c r="U1" s="1036"/>
      <c r="V1" s="1036"/>
    </row>
    <row r="2" spans="1:24" ht="15.75" thickBot="1" x14ac:dyDescent="0.3">
      <c r="A2" s="1168"/>
      <c r="B2" s="601" t="s">
        <v>2319</v>
      </c>
      <c r="D2" s="348" t="s">
        <v>577</v>
      </c>
      <c r="E2" s="349" t="s">
        <v>578</v>
      </c>
      <c r="O2" s="104" t="s">
        <v>576</v>
      </c>
      <c r="P2" s="104">
        <v>2020</v>
      </c>
      <c r="Q2" s="104">
        <v>2025</v>
      </c>
      <c r="R2" s="104">
        <v>2030</v>
      </c>
      <c r="S2" s="104">
        <v>2035</v>
      </c>
      <c r="T2" s="104">
        <v>2040</v>
      </c>
      <c r="U2" s="104">
        <v>2045</v>
      </c>
      <c r="V2" s="104">
        <v>2050</v>
      </c>
    </row>
    <row r="3" spans="1:24" ht="15.75" x14ac:dyDescent="0.25">
      <c r="A3" s="1036" t="s">
        <v>965</v>
      </c>
      <c r="B3" s="1036"/>
      <c r="C3" s="1036"/>
      <c r="D3" s="1036"/>
      <c r="E3" s="1036"/>
      <c r="F3" s="1036"/>
      <c r="G3" s="1036"/>
      <c r="H3" s="1036"/>
      <c r="I3" s="1036"/>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36" t="s">
        <v>957</v>
      </c>
      <c r="B31" s="1036"/>
      <c r="C31" s="1036"/>
      <c r="D31" s="1036"/>
      <c r="E31" s="1036"/>
      <c r="F31" s="1036"/>
      <c r="G31" s="1036"/>
      <c r="H31" s="1036"/>
      <c r="I31" s="1036"/>
      <c r="J31" s="1036"/>
      <c r="K31" s="1036"/>
      <c r="L31" s="1036"/>
      <c r="M31" s="1036"/>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97" t="s">
        <v>1203</v>
      </c>
      <c r="B74" s="1097"/>
      <c r="C74" s="1097"/>
      <c r="D74" s="1097"/>
      <c r="E74" s="1097"/>
      <c r="F74" s="1097"/>
      <c r="G74" s="1097"/>
      <c r="H74" s="159"/>
      <c r="I74" s="1166" t="s">
        <v>1224</v>
      </c>
      <c r="J74" s="1166"/>
      <c r="K74" s="1166"/>
      <c r="L74" s="1166"/>
      <c r="M74" s="1166"/>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86" t="s">
        <v>1206</v>
      </c>
      <c r="B79" s="1086"/>
      <c r="C79" s="1086"/>
      <c r="D79" s="1086"/>
      <c r="E79" s="1086"/>
      <c r="F79" s="1086"/>
      <c r="G79" s="1086"/>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86"/>
      <c r="B80" s="1086"/>
      <c r="C80" s="1086"/>
      <c r="D80" s="1086"/>
      <c r="E80" s="1086"/>
      <c r="F80" s="1086"/>
      <c r="G80" s="1086"/>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86"/>
      <c r="B81" s="1086"/>
      <c r="C81" s="1086"/>
      <c r="D81" s="1086"/>
      <c r="E81" s="1086"/>
      <c r="F81" s="1086"/>
      <c r="G81" s="1086"/>
      <c r="H81" s="28"/>
      <c r="I81" s="89"/>
      <c r="O81" s="61" t="s">
        <v>991</v>
      </c>
    </row>
    <row r="83" spans="1:27" ht="15.75" x14ac:dyDescent="0.25">
      <c r="A83" s="1036" t="s">
        <v>969</v>
      </c>
      <c r="B83" s="1036"/>
      <c r="C83" s="1036"/>
      <c r="D83" s="1036"/>
      <c r="E83" s="1036"/>
      <c r="F83" s="1036"/>
      <c r="G83" s="1036"/>
      <c r="H83" s="1036"/>
      <c r="I83" s="1036"/>
      <c r="J83" s="1036"/>
      <c r="K83" s="1036"/>
      <c r="O83" s="1036" t="s">
        <v>978</v>
      </c>
      <c r="P83" s="1036"/>
      <c r="Q83" s="1036"/>
      <c r="R83" s="1036"/>
      <c r="S83" s="1036"/>
      <c r="T83" s="1036"/>
      <c r="U83" s="1036"/>
      <c r="V83" s="1036"/>
      <c r="W83" s="1036"/>
      <c r="X83" s="1036"/>
      <c r="Y83" s="1036"/>
      <c r="Z83" s="1036"/>
      <c r="AA83" s="1036"/>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36" t="s">
        <v>971</v>
      </c>
      <c r="B90" s="1036"/>
      <c r="C90" s="1036"/>
      <c r="D90" s="1036"/>
      <c r="E90" s="1036"/>
      <c r="F90" s="1036"/>
      <c r="G90" s="1036"/>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86" t="s">
        <v>1127</v>
      </c>
      <c r="P92" s="1086"/>
      <c r="Q92" s="1086"/>
      <c r="R92" s="1086"/>
      <c r="S92" s="1086"/>
      <c r="T92" s="1086"/>
      <c r="U92" s="1086"/>
      <c r="V92" s="1086"/>
      <c r="W92" s="1086"/>
      <c r="X92" s="1086"/>
      <c r="Y92" s="1086"/>
      <c r="Z92" s="1086"/>
      <c r="AA92" s="1086"/>
    </row>
    <row r="93" spans="1:27" x14ac:dyDescent="0.25">
      <c r="A93" t="s">
        <v>975</v>
      </c>
      <c r="B93" s="85">
        <v>0.58299999999999996</v>
      </c>
      <c r="C93" s="84">
        <v>1.08</v>
      </c>
      <c r="D93" s="84">
        <v>1</v>
      </c>
      <c r="E93" s="84">
        <v>1</v>
      </c>
      <c r="F93" s="84">
        <v>1</v>
      </c>
      <c r="G93" s="84">
        <v>1</v>
      </c>
      <c r="O93" s="1086"/>
      <c r="P93" s="1086"/>
      <c r="Q93" s="1086"/>
      <c r="R93" s="1086"/>
      <c r="S93" s="1086"/>
      <c r="T93" s="1086"/>
      <c r="U93" s="1086"/>
      <c r="V93" s="1086"/>
      <c r="W93" s="1086"/>
      <c r="X93" s="1086"/>
      <c r="Y93" s="1086"/>
      <c r="Z93" s="1086"/>
      <c r="AA93" s="1086"/>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36" t="s">
        <v>1580</v>
      </c>
      <c r="B98" s="1036"/>
      <c r="C98" s="1036"/>
      <c r="D98" s="1036"/>
      <c r="E98" s="1036"/>
      <c r="F98" s="1036"/>
      <c r="G98" s="1036"/>
      <c r="H98" s="1036"/>
      <c r="I98" s="1036"/>
      <c r="J98" s="1036"/>
      <c r="K98" s="1036"/>
      <c r="L98" s="1036"/>
      <c r="M98" s="1036"/>
      <c r="N98" s="1036"/>
      <c r="O98" s="1036"/>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2376</v>
      </c>
    </row>
    <row r="142" spans="1:31" x14ac:dyDescent="0.25">
      <c r="A142" s="239"/>
      <c r="B142" s="602" t="s">
        <v>2323</v>
      </c>
      <c r="C142" s="603"/>
      <c r="D142" s="604" t="s">
        <v>2324</v>
      </c>
      <c r="E142" s="604"/>
      <c r="F142" s="604"/>
      <c r="G142" s="604"/>
      <c r="H142" s="604"/>
      <c r="I142" s="604"/>
      <c r="J142" s="604"/>
      <c r="K142" s="604"/>
      <c r="L142" s="605"/>
      <c r="M142" s="604"/>
      <c r="N142" s="604"/>
      <c r="O142" s="604"/>
      <c r="P142" s="1161" t="s">
        <v>2325</v>
      </c>
      <c r="Q142" s="1162"/>
      <c r="R142" s="1163"/>
      <c r="S142" s="1153" t="s">
        <v>2242</v>
      </c>
      <c r="T142" s="602" t="s">
        <v>2323</v>
      </c>
      <c r="U142" s="602" t="s">
        <v>2324</v>
      </c>
      <c r="V142" s="604"/>
      <c r="W142" s="604"/>
      <c r="X142" s="603"/>
      <c r="Y142" s="1153" t="s">
        <v>2326</v>
      </c>
      <c r="Z142" s="1161" t="s">
        <v>2327</v>
      </c>
      <c r="AA142" s="1162"/>
      <c r="AB142" s="1163"/>
      <c r="AC142" s="1155" t="s">
        <v>25</v>
      </c>
      <c r="AD142" s="1157" t="s">
        <v>2328</v>
      </c>
      <c r="AE142" s="1159" t="s">
        <v>2329</v>
      </c>
    </row>
    <row r="143" spans="1:31" ht="64.5" x14ac:dyDescent="0.25">
      <c r="A143" s="54"/>
      <c r="B143" s="606" t="s">
        <v>2205</v>
      </c>
      <c r="C143" s="607" t="s">
        <v>2330</v>
      </c>
      <c r="D143" s="608" t="s">
        <v>2200</v>
      </c>
      <c r="E143" s="608" t="s">
        <v>2331</v>
      </c>
      <c r="F143" s="608" t="s">
        <v>108</v>
      </c>
      <c r="G143" s="608" t="s">
        <v>2332</v>
      </c>
      <c r="H143" s="608" t="s">
        <v>232</v>
      </c>
      <c r="I143" s="608" t="s">
        <v>2207</v>
      </c>
      <c r="J143" s="608" t="s">
        <v>2197</v>
      </c>
      <c r="K143" s="608" t="s">
        <v>2333</v>
      </c>
      <c r="L143" s="608" t="s">
        <v>2334</v>
      </c>
      <c r="M143" s="608" t="s">
        <v>2335</v>
      </c>
      <c r="N143" s="608" t="s">
        <v>2336</v>
      </c>
      <c r="O143" s="608" t="s">
        <v>2196</v>
      </c>
      <c r="P143" s="606" t="s">
        <v>2337</v>
      </c>
      <c r="Q143" s="608" t="s">
        <v>2338</v>
      </c>
      <c r="R143" s="607" t="s">
        <v>2339</v>
      </c>
      <c r="S143" s="1154"/>
      <c r="T143" s="606" t="s">
        <v>2340</v>
      </c>
      <c r="U143" s="606" t="s">
        <v>2341</v>
      </c>
      <c r="V143" s="608" t="s">
        <v>2342</v>
      </c>
      <c r="W143" s="608" t="s">
        <v>2343</v>
      </c>
      <c r="X143" s="607" t="s">
        <v>2344</v>
      </c>
      <c r="Y143" s="1154"/>
      <c r="Z143" s="609" t="s">
        <v>2345</v>
      </c>
      <c r="AA143" s="610" t="s">
        <v>2268</v>
      </c>
      <c r="AB143" s="611" t="s">
        <v>2346</v>
      </c>
      <c r="AC143" s="1156"/>
      <c r="AD143" s="1158"/>
      <c r="AE143" s="1160"/>
    </row>
    <row r="144" spans="1:31" x14ac:dyDescent="0.25">
      <c r="A144" s="239" t="s">
        <v>2347</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2348</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2349</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2221</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2350</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2351</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2352</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2353</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2376</v>
      </c>
    </row>
    <row r="166" spans="1:37" ht="55.5" customHeight="1" x14ac:dyDescent="0.25">
      <c r="A166" s="239"/>
      <c r="B166" s="1153" t="s">
        <v>2204</v>
      </c>
      <c r="C166" s="1153" t="s">
        <v>2354</v>
      </c>
      <c r="D166" s="1153" t="s">
        <v>2355</v>
      </c>
      <c r="E166" s="1153" t="s">
        <v>2356</v>
      </c>
      <c r="F166" s="1149" t="s">
        <v>2202</v>
      </c>
      <c r="G166" s="1150"/>
      <c r="H166" s="1149" t="s">
        <v>2357</v>
      </c>
      <c r="I166" s="1150"/>
      <c r="J166" s="1149" t="s">
        <v>2358</v>
      </c>
      <c r="K166" s="1150"/>
      <c r="L166" s="1149" t="s">
        <v>2359</v>
      </c>
      <c r="M166" s="1150"/>
      <c r="N166" s="1149" t="s">
        <v>2360</v>
      </c>
      <c r="O166" s="1150"/>
      <c r="P166" s="1149" t="s">
        <v>2361</v>
      </c>
      <c r="Q166" s="1150"/>
      <c r="R166" s="1149" t="s">
        <v>2362</v>
      </c>
      <c r="S166" s="1150"/>
      <c r="T166" s="1149" t="s">
        <v>2363</v>
      </c>
      <c r="U166" s="1150"/>
      <c r="V166" s="1149" t="s">
        <v>2364</v>
      </c>
      <c r="W166" s="1150"/>
      <c r="X166" s="1149" t="s">
        <v>2365</v>
      </c>
      <c r="Y166" s="1150"/>
      <c r="Z166" s="1153" t="s">
        <v>2366</v>
      </c>
      <c r="AA166" s="1149" t="s">
        <v>2367</v>
      </c>
      <c r="AB166" s="1150"/>
      <c r="AC166" s="1149" t="s">
        <v>2368</v>
      </c>
      <c r="AD166" s="1150"/>
      <c r="AE166" s="1149" t="s">
        <v>2369</v>
      </c>
      <c r="AF166" s="1150"/>
      <c r="AG166" s="1153" t="s">
        <v>2370</v>
      </c>
      <c r="AH166" s="1153" t="s">
        <v>2371</v>
      </c>
      <c r="AI166" s="1153" t="s">
        <v>2372</v>
      </c>
      <c r="AJ166" s="1153" t="s">
        <v>2373</v>
      </c>
      <c r="AK166" s="1153" t="s">
        <v>2374</v>
      </c>
    </row>
    <row r="167" spans="1:37" x14ac:dyDescent="0.25">
      <c r="A167" s="240"/>
      <c r="B167" s="1154"/>
      <c r="C167" s="1154"/>
      <c r="D167" s="1154"/>
      <c r="E167" s="1154"/>
      <c r="F167" s="626" t="s">
        <v>2375</v>
      </c>
      <c r="G167" s="627" t="s">
        <v>225</v>
      </c>
      <c r="H167" s="626" t="s">
        <v>2375</v>
      </c>
      <c r="I167" s="627" t="s">
        <v>225</v>
      </c>
      <c r="J167" s="626" t="s">
        <v>2375</v>
      </c>
      <c r="K167" s="627" t="s">
        <v>225</v>
      </c>
      <c r="L167" s="626" t="s">
        <v>2375</v>
      </c>
      <c r="M167" s="627" t="s">
        <v>225</v>
      </c>
      <c r="N167" s="626" t="s">
        <v>2375</v>
      </c>
      <c r="O167" s="627" t="s">
        <v>225</v>
      </c>
      <c r="P167" s="626" t="s">
        <v>2375</v>
      </c>
      <c r="Q167" s="627" t="s">
        <v>225</v>
      </c>
      <c r="R167" s="626" t="s">
        <v>2375</v>
      </c>
      <c r="S167" s="627" t="s">
        <v>225</v>
      </c>
      <c r="T167" s="626" t="s">
        <v>2375</v>
      </c>
      <c r="U167" s="627" t="s">
        <v>225</v>
      </c>
      <c r="V167" s="626" t="s">
        <v>2375</v>
      </c>
      <c r="W167" s="627" t="s">
        <v>225</v>
      </c>
      <c r="X167" s="626" t="s">
        <v>2375</v>
      </c>
      <c r="Y167" s="627" t="s">
        <v>225</v>
      </c>
      <c r="Z167" s="1154"/>
      <c r="AA167" s="626" t="s">
        <v>2375</v>
      </c>
      <c r="AB167" s="627" t="s">
        <v>225</v>
      </c>
      <c r="AC167" s="626" t="s">
        <v>2375</v>
      </c>
      <c r="AD167" s="627" t="s">
        <v>225</v>
      </c>
      <c r="AE167" s="626" t="s">
        <v>2375</v>
      </c>
      <c r="AF167" s="628" t="s">
        <v>225</v>
      </c>
      <c r="AG167" s="1154"/>
      <c r="AH167" s="1154"/>
      <c r="AI167" s="1154"/>
      <c r="AJ167" s="1154"/>
      <c r="AK167" s="1154"/>
    </row>
    <row r="168" spans="1:37" x14ac:dyDescent="0.25">
      <c r="A168" s="54" t="s">
        <v>2347</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2348</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2349</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2221</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2350</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2351</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2352</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2353</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2376</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2199</v>
      </c>
      <c r="I190" s="645"/>
      <c r="J190" s="644" t="s">
        <v>2377</v>
      </c>
      <c r="K190" s="645"/>
      <c r="L190" s="644" t="s">
        <v>2378</v>
      </c>
      <c r="M190" s="645"/>
      <c r="N190" s="644" t="s">
        <v>2379</v>
      </c>
      <c r="O190" s="645"/>
      <c r="P190" s="644" t="s">
        <v>2380</v>
      </c>
      <c r="Q190" s="645"/>
      <c r="R190" s="644" t="s">
        <v>2381</v>
      </c>
      <c r="S190" s="645"/>
      <c r="T190" s="644" t="s">
        <v>2382</v>
      </c>
      <c r="U190" s="645"/>
      <c r="V190" s="644" t="s">
        <v>2383</v>
      </c>
      <c r="W190" s="645"/>
      <c r="X190" s="644" t="s">
        <v>2384</v>
      </c>
      <c r="Y190" s="645"/>
      <c r="Z190" s="644" t="s">
        <v>2385</v>
      </c>
      <c r="AA190" s="645"/>
      <c r="AB190" s="644" t="s">
        <v>2386</v>
      </c>
      <c r="AC190" s="645"/>
      <c r="AD190" s="644" t="s">
        <v>2387</v>
      </c>
      <c r="AE190" s="645"/>
      <c r="AF190" s="644" t="s">
        <v>2388</v>
      </c>
      <c r="AG190" s="645"/>
      <c r="AH190" s="644" t="s">
        <v>2389</v>
      </c>
      <c r="AI190" s="645"/>
      <c r="AJ190" s="644" t="s">
        <v>2390</v>
      </c>
      <c r="AK190" s="645"/>
      <c r="AL190" s="644" t="s">
        <v>2391</v>
      </c>
      <c r="AM190" s="645"/>
      <c r="AN190" s="644" t="s">
        <v>2392</v>
      </c>
      <c r="AO190" s="645"/>
      <c r="AP190" s="644" t="s">
        <v>2393</v>
      </c>
      <c r="AQ190" s="645"/>
      <c r="AR190" s="644" t="s">
        <v>2394</v>
      </c>
      <c r="AS190" s="645"/>
      <c r="AT190" s="644" t="s">
        <v>2395</v>
      </c>
      <c r="AU190" s="645"/>
      <c r="AV190" s="644" t="s">
        <v>2396</v>
      </c>
      <c r="AW190" s="645"/>
      <c r="AX190" s="644" t="s">
        <v>2397</v>
      </c>
      <c r="AY190" s="645"/>
      <c r="AZ190" s="644" t="s">
        <v>2398</v>
      </c>
      <c r="BA190" s="645"/>
      <c r="BB190" s="644" t="s">
        <v>2399</v>
      </c>
      <c r="BC190" s="645"/>
      <c r="BD190" s="644" t="s">
        <v>2400</v>
      </c>
      <c r="BE190" s="645"/>
      <c r="BF190" s="644" t="s">
        <v>2401</v>
      </c>
      <c r="BG190" s="645"/>
      <c r="BH190" s="644" t="s">
        <v>2402</v>
      </c>
      <c r="BI190" s="645"/>
      <c r="BJ190" s="644" t="s">
        <v>2403</v>
      </c>
      <c r="BK190" s="645"/>
      <c r="BL190" s="644" t="s">
        <v>2404</v>
      </c>
      <c r="BM190" s="645"/>
      <c r="BN190" s="644" t="s">
        <v>2405</v>
      </c>
      <c r="BO190" s="645"/>
      <c r="BP190" s="644" t="s">
        <v>2406</v>
      </c>
      <c r="BQ190" s="645"/>
      <c r="BR190" s="644" t="s">
        <v>2407</v>
      </c>
      <c r="BS190" s="644" t="s">
        <v>2408</v>
      </c>
      <c r="BT190" s="645"/>
      <c r="BU190" s="644" t="s">
        <v>2409</v>
      </c>
      <c r="BV190" s="645"/>
      <c r="BW190" s="646" t="s">
        <v>2410</v>
      </c>
      <c r="BX190" s="646"/>
      <c r="BY190" s="646" t="s">
        <v>2411</v>
      </c>
      <c r="BZ190" s="646"/>
      <c r="CA190" s="646" t="s">
        <v>2412</v>
      </c>
      <c r="CB190" s="646"/>
      <c r="CC190" s="645" t="s">
        <v>2413</v>
      </c>
      <c r="CD190" s="647" t="s">
        <v>2414</v>
      </c>
      <c r="CE190" s="646" t="s">
        <v>2415</v>
      </c>
      <c r="CF190" s="646" t="s">
        <v>2416</v>
      </c>
    </row>
    <row r="191" spans="1:84" x14ac:dyDescent="0.25">
      <c r="A191" s="54"/>
      <c r="B191" s="648" t="s">
        <v>2417</v>
      </c>
      <c r="C191" s="649" t="s">
        <v>23</v>
      </c>
      <c r="D191" s="648" t="s">
        <v>2417</v>
      </c>
      <c r="E191" s="649" t="s">
        <v>23</v>
      </c>
      <c r="F191" s="648" t="s">
        <v>2417</v>
      </c>
      <c r="G191" s="649" t="s">
        <v>23</v>
      </c>
      <c r="H191" s="648" t="s">
        <v>2417</v>
      </c>
      <c r="I191" s="649" t="s">
        <v>23</v>
      </c>
      <c r="J191" s="648" t="s">
        <v>2417</v>
      </c>
      <c r="K191" s="649" t="s">
        <v>23</v>
      </c>
      <c r="L191" s="648" t="s">
        <v>2417</v>
      </c>
      <c r="M191" s="649" t="s">
        <v>23</v>
      </c>
      <c r="N191" s="648" t="s">
        <v>2418</v>
      </c>
      <c r="O191" s="649" t="s">
        <v>23</v>
      </c>
      <c r="P191" s="648" t="str">
        <f>IF($C$183=1,J191,IF($C$183=2,L191,N191))</f>
        <v>Stover</v>
      </c>
      <c r="Q191" s="649" t="s">
        <v>23</v>
      </c>
      <c r="R191" s="648" t="s">
        <v>2417</v>
      </c>
      <c r="S191" s="649" t="s">
        <v>23</v>
      </c>
      <c r="T191" s="648" t="s">
        <v>2417</v>
      </c>
      <c r="U191" s="649" t="s">
        <v>23</v>
      </c>
      <c r="V191" s="648" t="s">
        <v>2225</v>
      </c>
      <c r="W191" s="649" t="s">
        <v>23</v>
      </c>
      <c r="X191" s="648" t="s">
        <v>2225</v>
      </c>
      <c r="Y191" s="649" t="s">
        <v>23</v>
      </c>
      <c r="Z191" s="648" t="s">
        <v>2225</v>
      </c>
      <c r="AA191" s="649" t="s">
        <v>23</v>
      </c>
      <c r="AB191" s="648" t="s">
        <v>2419</v>
      </c>
      <c r="AC191" s="649" t="s">
        <v>23</v>
      </c>
      <c r="AD191" s="648" t="s">
        <v>2419</v>
      </c>
      <c r="AE191" s="649" t="s">
        <v>23</v>
      </c>
      <c r="AF191" s="648" t="s">
        <v>2419</v>
      </c>
      <c r="AG191" s="649" t="s">
        <v>23</v>
      </c>
      <c r="AH191" s="648" t="s">
        <v>2420</v>
      </c>
      <c r="AI191" s="649" t="s">
        <v>23</v>
      </c>
      <c r="AJ191" s="650" t="s">
        <v>2420</v>
      </c>
      <c r="AK191" s="651" t="s">
        <v>23</v>
      </c>
      <c r="AL191" s="648" t="s">
        <v>2420</v>
      </c>
      <c r="AM191" s="649" t="s">
        <v>23</v>
      </c>
      <c r="AN191" s="648" t="s">
        <v>2421</v>
      </c>
      <c r="AO191" s="649" t="s">
        <v>23</v>
      </c>
      <c r="AP191" s="650" t="s">
        <v>2421</v>
      </c>
      <c r="AQ191" s="651" t="s">
        <v>23</v>
      </c>
      <c r="AR191" s="648" t="s">
        <v>2421</v>
      </c>
      <c r="AS191" s="649" t="s">
        <v>23</v>
      </c>
      <c r="AT191" s="648" t="s">
        <v>2422</v>
      </c>
      <c r="AU191" s="649" t="s">
        <v>23</v>
      </c>
      <c r="AV191" s="650" t="s">
        <v>2422</v>
      </c>
      <c r="AW191" s="651" t="s">
        <v>23</v>
      </c>
      <c r="AX191" s="648" t="s">
        <v>2422</v>
      </c>
      <c r="AY191" s="649" t="s">
        <v>23</v>
      </c>
      <c r="AZ191" s="648" t="s">
        <v>2423</v>
      </c>
      <c r="BA191" s="649" t="s">
        <v>23</v>
      </c>
      <c r="BB191" s="648" t="s">
        <v>2423</v>
      </c>
      <c r="BC191" s="649" t="s">
        <v>23</v>
      </c>
      <c r="BD191" s="648" t="s">
        <v>2423</v>
      </c>
      <c r="BE191" s="649" t="s">
        <v>23</v>
      </c>
      <c r="BF191" s="648" t="s">
        <v>2424</v>
      </c>
      <c r="BG191" s="649" t="s">
        <v>23</v>
      </c>
      <c r="BH191" s="648" t="s">
        <v>2424</v>
      </c>
      <c r="BI191" s="649" t="s">
        <v>23</v>
      </c>
      <c r="BJ191" s="648" t="s">
        <v>2424</v>
      </c>
      <c r="BK191" s="649" t="s">
        <v>23</v>
      </c>
      <c r="BL191" s="648" t="s">
        <v>2424</v>
      </c>
      <c r="BM191" s="649" t="s">
        <v>23</v>
      </c>
      <c r="BN191" s="648" t="s">
        <v>2424</v>
      </c>
      <c r="BO191" s="649" t="s">
        <v>23</v>
      </c>
      <c r="BP191" s="648" t="s">
        <v>2425</v>
      </c>
      <c r="BQ191" s="649" t="s">
        <v>23</v>
      </c>
      <c r="BR191" s="652"/>
      <c r="BS191" s="648" t="s">
        <v>2375</v>
      </c>
      <c r="BT191" s="649" t="s">
        <v>225</v>
      </c>
      <c r="BU191" s="648" t="s">
        <v>2375</v>
      </c>
      <c r="BV191" s="649" t="s">
        <v>225</v>
      </c>
      <c r="BW191" s="648" t="s">
        <v>2375</v>
      </c>
      <c r="BX191" s="649" t="s">
        <v>225</v>
      </c>
      <c r="BY191" s="648" t="s">
        <v>2375</v>
      </c>
      <c r="BZ191" s="649" t="s">
        <v>225</v>
      </c>
      <c r="CA191" s="648" t="s">
        <v>2425</v>
      </c>
      <c r="CB191" s="649" t="s">
        <v>23</v>
      </c>
      <c r="CC191" s="652" t="s">
        <v>2426</v>
      </c>
      <c r="CD191" s="653" t="s">
        <v>2427</v>
      </c>
      <c r="CE191" s="54" t="s">
        <v>2428</v>
      </c>
      <c r="CF191" s="54" t="s">
        <v>2428</v>
      </c>
    </row>
    <row r="192" spans="1:84" x14ac:dyDescent="0.25">
      <c r="A192" s="54" t="s">
        <v>2347</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2426</v>
      </c>
      <c r="BZ192" s="613"/>
      <c r="CA192" s="612"/>
      <c r="CB192" s="613">
        <v>1.0005044983835341</v>
      </c>
      <c r="CC192" s="656"/>
      <c r="CD192" s="656"/>
      <c r="CE192" s="54"/>
      <c r="CF192" s="54"/>
    </row>
    <row r="193" spans="1:84" x14ac:dyDescent="0.25">
      <c r="A193" s="54" t="s">
        <v>2348</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2349</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2221</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2350</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2351</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2352</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2353</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2376</v>
      </c>
    </row>
    <row r="214" spans="1:86" x14ac:dyDescent="0.25">
      <c r="A214" s="675"/>
      <c r="B214" s="1149" t="s">
        <v>2323</v>
      </c>
      <c r="C214" s="1151"/>
      <c r="D214" s="1151"/>
      <c r="E214" s="1151"/>
      <c r="F214" s="1151"/>
      <c r="G214" s="1151"/>
      <c r="H214" s="1150"/>
      <c r="I214" s="1149" t="s">
        <v>2429</v>
      </c>
      <c r="J214" s="1151"/>
      <c r="K214" s="1151"/>
      <c r="L214" s="1150"/>
      <c r="M214" s="1149" t="s">
        <v>239</v>
      </c>
      <c r="N214" s="1151"/>
      <c r="O214" s="1151"/>
      <c r="P214" s="1151"/>
      <c r="Q214" s="1151"/>
      <c r="R214" s="1151"/>
      <c r="S214" s="1151"/>
      <c r="T214" s="1151"/>
      <c r="U214" s="1151"/>
      <c r="V214" s="1151"/>
      <c r="W214" s="1151"/>
      <c r="X214" s="1151"/>
      <c r="Y214" s="1151"/>
      <c r="Z214" s="1151"/>
      <c r="AA214" s="1151"/>
      <c r="AB214" s="1151"/>
      <c r="AC214" s="1151"/>
      <c r="AD214" s="1151"/>
      <c r="AE214" s="1151"/>
      <c r="AF214" s="1151"/>
      <c r="AG214" s="1151"/>
      <c r="AH214" s="1151"/>
      <c r="AI214" s="1151"/>
      <c r="AJ214" s="1150"/>
      <c r="AK214" s="1149" t="s">
        <v>2217</v>
      </c>
      <c r="AL214" s="1151"/>
      <c r="AM214" s="1151"/>
      <c r="AN214" s="1151"/>
      <c r="AO214" s="1151"/>
      <c r="AP214" s="1151"/>
      <c r="AQ214" s="1151"/>
      <c r="AR214" s="1151"/>
      <c r="AS214" s="1151"/>
      <c r="AT214" s="1151"/>
      <c r="AU214" s="1151"/>
      <c r="AV214" s="1151"/>
      <c r="AW214" s="1151"/>
      <c r="AX214" s="1151"/>
      <c r="AY214" s="1151"/>
      <c r="AZ214" s="1151"/>
      <c r="BA214" s="1151"/>
      <c r="BB214" s="1151"/>
      <c r="BC214" s="1151"/>
      <c r="BD214" s="1151"/>
      <c r="BE214" s="1151"/>
      <c r="BF214" s="1150"/>
      <c r="BG214" s="1149" t="s">
        <v>1289</v>
      </c>
      <c r="BH214" s="1150"/>
      <c r="BI214" s="1149" t="s">
        <v>2261</v>
      </c>
      <c r="BJ214" s="1151"/>
      <c r="BK214" s="1151"/>
      <c r="BL214" s="1151"/>
      <c r="BM214" s="1151"/>
      <c r="BN214" s="1151"/>
      <c r="BO214" s="1151"/>
      <c r="BP214" s="1151"/>
      <c r="BQ214" s="1151"/>
      <c r="BR214" s="1151"/>
      <c r="BS214" s="1151"/>
      <c r="BT214" s="1151"/>
      <c r="BU214" s="1151"/>
      <c r="BV214" s="1150"/>
      <c r="BW214" s="1152" t="s">
        <v>2430</v>
      </c>
      <c r="BX214" s="1152"/>
      <c r="BY214" s="1149" t="s">
        <v>2431</v>
      </c>
      <c r="BZ214" s="1151"/>
      <c r="CA214" s="1151"/>
      <c r="CB214" s="1150"/>
      <c r="CC214" s="1149" t="s">
        <v>2432</v>
      </c>
      <c r="CD214" s="1151"/>
      <c r="CE214" s="1151"/>
      <c r="CF214" s="1151"/>
      <c r="CG214" s="1151"/>
      <c r="CH214" s="1150"/>
    </row>
    <row r="215" spans="1:86" ht="39" x14ac:dyDescent="0.25">
      <c r="A215" s="576"/>
      <c r="B215" s="646" t="s">
        <v>2433</v>
      </c>
      <c r="C215" s="644" t="s">
        <v>2434</v>
      </c>
      <c r="D215" s="644" t="s">
        <v>2435</v>
      </c>
      <c r="E215" s="644" t="s">
        <v>2436</v>
      </c>
      <c r="F215" s="644" t="s">
        <v>2437</v>
      </c>
      <c r="G215" s="644" t="s">
        <v>2438</v>
      </c>
      <c r="H215" s="646" t="s">
        <v>2439</v>
      </c>
      <c r="I215" s="646" t="s">
        <v>2440</v>
      </c>
      <c r="J215" s="646" t="s">
        <v>2441</v>
      </c>
      <c r="K215" s="644" t="s">
        <v>2442</v>
      </c>
      <c r="L215" s="645"/>
      <c r="M215" s="1149" t="s">
        <v>2192</v>
      </c>
      <c r="N215" s="1150"/>
      <c r="O215" s="1149" t="s">
        <v>2443</v>
      </c>
      <c r="P215" s="1150"/>
      <c r="Q215" s="1149" t="s">
        <v>2444</v>
      </c>
      <c r="R215" s="1150"/>
      <c r="S215" s="1149" t="s">
        <v>2445</v>
      </c>
      <c r="T215" s="1150"/>
      <c r="U215" s="1149" t="s">
        <v>2446</v>
      </c>
      <c r="V215" s="1150"/>
      <c r="W215" s="1149" t="s">
        <v>2447</v>
      </c>
      <c r="X215" s="1151"/>
      <c r="Y215" s="1149" t="s">
        <v>2448</v>
      </c>
      <c r="Z215" s="1150"/>
      <c r="AA215" s="1149" t="s">
        <v>2449</v>
      </c>
      <c r="AB215" s="1150"/>
      <c r="AC215" s="1149" t="s">
        <v>2450</v>
      </c>
      <c r="AD215" s="1150"/>
      <c r="AE215" s="1149" t="s">
        <v>2451</v>
      </c>
      <c r="AF215" s="1150"/>
      <c r="AG215" s="1149" t="s">
        <v>2452</v>
      </c>
      <c r="AH215" s="1150"/>
      <c r="AI215" s="1149" t="s">
        <v>2453</v>
      </c>
      <c r="AJ215" s="1150"/>
      <c r="AK215" s="1149" t="s">
        <v>2454</v>
      </c>
      <c r="AL215" s="1150"/>
      <c r="AM215" s="1149" t="s">
        <v>2455</v>
      </c>
      <c r="AN215" s="1150"/>
      <c r="AO215" s="1149" t="s">
        <v>2456</v>
      </c>
      <c r="AP215" s="1150"/>
      <c r="AQ215" s="1149" t="s">
        <v>2457</v>
      </c>
      <c r="AR215" s="1150"/>
      <c r="AS215" s="1149" t="s">
        <v>2458</v>
      </c>
      <c r="AT215" s="1150"/>
      <c r="AU215" s="1149" t="s">
        <v>2459</v>
      </c>
      <c r="AV215" s="1150"/>
      <c r="AW215" s="1149" t="s">
        <v>2460</v>
      </c>
      <c r="AX215" s="1150"/>
      <c r="AY215" s="1149" t="s">
        <v>2461</v>
      </c>
      <c r="AZ215" s="1150"/>
      <c r="BA215" s="1149" t="s">
        <v>2462</v>
      </c>
      <c r="BB215" s="1150"/>
      <c r="BC215" s="1149" t="s">
        <v>2218</v>
      </c>
      <c r="BD215" s="1150"/>
      <c r="BE215" s="1149" t="s">
        <v>2463</v>
      </c>
      <c r="BF215" s="1150"/>
      <c r="BG215" s="1149" t="s">
        <v>2464</v>
      </c>
      <c r="BH215" s="1150"/>
      <c r="BI215" s="1149" t="s">
        <v>2465</v>
      </c>
      <c r="BJ215" s="1150"/>
      <c r="BK215" s="1149" t="s">
        <v>2466</v>
      </c>
      <c r="BL215" s="1150"/>
      <c r="BM215" s="1149" t="s">
        <v>2467</v>
      </c>
      <c r="BN215" s="1150"/>
      <c r="BO215" s="1149" t="s">
        <v>2468</v>
      </c>
      <c r="BP215" s="1150"/>
      <c r="BQ215" s="1149" t="s">
        <v>2469</v>
      </c>
      <c r="BR215" s="1150"/>
      <c r="BS215" s="1149" t="s">
        <v>2470</v>
      </c>
      <c r="BT215" s="1150"/>
      <c r="BU215" s="1149" t="s">
        <v>2471</v>
      </c>
      <c r="BV215" s="1150"/>
      <c r="BW215" s="1149" t="s">
        <v>2472</v>
      </c>
      <c r="BX215" s="1150"/>
      <c r="BY215" s="1149" t="s">
        <v>2473</v>
      </c>
      <c r="BZ215" s="1150"/>
      <c r="CA215" s="1149" t="s">
        <v>2474</v>
      </c>
      <c r="CB215" s="1150"/>
      <c r="CC215" s="1149" t="s">
        <v>2475</v>
      </c>
      <c r="CD215" s="1151"/>
      <c r="CE215" s="1149" t="s">
        <v>2476</v>
      </c>
      <c r="CF215" s="1150"/>
      <c r="CG215" s="1151" t="s">
        <v>2477</v>
      </c>
      <c r="CH215" s="1150"/>
    </row>
    <row r="216" spans="1:86" ht="26.25" x14ac:dyDescent="0.25">
      <c r="A216" s="576"/>
      <c r="B216" s="676"/>
      <c r="C216" s="606"/>
      <c r="D216" s="606"/>
      <c r="E216" s="606"/>
      <c r="F216" s="606"/>
      <c r="G216" s="606"/>
      <c r="H216" s="676"/>
      <c r="I216" s="676"/>
      <c r="J216" s="676"/>
      <c r="K216" s="610" t="s">
        <v>2375</v>
      </c>
      <c r="L216" s="611" t="s">
        <v>225</v>
      </c>
      <c r="M216" s="608" t="s">
        <v>2375</v>
      </c>
      <c r="N216" s="607" t="s">
        <v>225</v>
      </c>
      <c r="O216" s="606" t="s">
        <v>2375</v>
      </c>
      <c r="P216" s="607" t="s">
        <v>225</v>
      </c>
      <c r="Q216" s="606" t="s">
        <v>2375</v>
      </c>
      <c r="R216" s="607" t="s">
        <v>225</v>
      </c>
      <c r="S216" s="606" t="s">
        <v>2375</v>
      </c>
      <c r="T216" s="607" t="s">
        <v>225</v>
      </c>
      <c r="U216" s="606" t="s">
        <v>2375</v>
      </c>
      <c r="V216" s="607" t="s">
        <v>225</v>
      </c>
      <c r="W216" s="606" t="s">
        <v>2375</v>
      </c>
      <c r="X216" s="608" t="s">
        <v>225</v>
      </c>
      <c r="Y216" s="606" t="s">
        <v>2375</v>
      </c>
      <c r="Z216" s="607" t="s">
        <v>225</v>
      </c>
      <c r="AA216" s="606" t="s">
        <v>2375</v>
      </c>
      <c r="AB216" s="607" t="s">
        <v>225</v>
      </c>
      <c r="AC216" s="606" t="s">
        <v>2375</v>
      </c>
      <c r="AD216" s="607" t="s">
        <v>225</v>
      </c>
      <c r="AE216" s="606" t="s">
        <v>2375</v>
      </c>
      <c r="AF216" s="607" t="s">
        <v>225</v>
      </c>
      <c r="AG216" s="606" t="s">
        <v>2375</v>
      </c>
      <c r="AH216" s="607" t="s">
        <v>225</v>
      </c>
      <c r="AI216" s="606" t="s">
        <v>2375</v>
      </c>
      <c r="AJ216" s="607" t="s">
        <v>225</v>
      </c>
      <c r="AK216" s="608" t="s">
        <v>2375</v>
      </c>
      <c r="AL216" s="608" t="s">
        <v>225</v>
      </c>
      <c r="AM216" s="606" t="s">
        <v>2375</v>
      </c>
      <c r="AN216" s="607" t="s">
        <v>225</v>
      </c>
      <c r="AO216" s="606" t="s">
        <v>2375</v>
      </c>
      <c r="AP216" s="607" t="s">
        <v>225</v>
      </c>
      <c r="AQ216" s="606" t="s">
        <v>2375</v>
      </c>
      <c r="AR216" s="607" t="s">
        <v>225</v>
      </c>
      <c r="AS216" s="606" t="s">
        <v>2375</v>
      </c>
      <c r="AT216" s="607" t="s">
        <v>225</v>
      </c>
      <c r="AU216" s="606" t="s">
        <v>2375</v>
      </c>
      <c r="AV216" s="607" t="s">
        <v>225</v>
      </c>
      <c r="AW216" s="608" t="s">
        <v>2375</v>
      </c>
      <c r="AX216" s="608" t="s">
        <v>225</v>
      </c>
      <c r="AY216" s="606" t="s">
        <v>2375</v>
      </c>
      <c r="AZ216" s="607" t="s">
        <v>225</v>
      </c>
      <c r="BA216" s="606" t="s">
        <v>2375</v>
      </c>
      <c r="BB216" s="607" t="s">
        <v>225</v>
      </c>
      <c r="BC216" s="606" t="s">
        <v>2375</v>
      </c>
      <c r="BD216" s="607" t="s">
        <v>225</v>
      </c>
      <c r="BE216" s="606" t="s">
        <v>2375</v>
      </c>
      <c r="BF216" s="607" t="s">
        <v>225</v>
      </c>
      <c r="BG216" s="606" t="s">
        <v>2375</v>
      </c>
      <c r="BH216" s="607" t="s">
        <v>225</v>
      </c>
      <c r="BI216" s="606" t="s">
        <v>2375</v>
      </c>
      <c r="BJ216" s="607" t="s">
        <v>225</v>
      </c>
      <c r="BK216" s="606" t="s">
        <v>2375</v>
      </c>
      <c r="BL216" s="607" t="s">
        <v>225</v>
      </c>
      <c r="BM216" s="606" t="s">
        <v>2375</v>
      </c>
      <c r="BN216" s="607" t="s">
        <v>225</v>
      </c>
      <c r="BO216" s="606" t="s">
        <v>2375</v>
      </c>
      <c r="BP216" s="607" t="s">
        <v>225</v>
      </c>
      <c r="BQ216" s="606" t="s">
        <v>2375</v>
      </c>
      <c r="BR216" s="607" t="s">
        <v>225</v>
      </c>
      <c r="BS216" s="606" t="s">
        <v>2375</v>
      </c>
      <c r="BT216" s="607" t="s">
        <v>225</v>
      </c>
      <c r="BU216" s="606" t="s">
        <v>2375</v>
      </c>
      <c r="BV216" s="607" t="s">
        <v>225</v>
      </c>
      <c r="BW216" s="606" t="s">
        <v>2375</v>
      </c>
      <c r="BX216" s="607" t="s">
        <v>225</v>
      </c>
      <c r="BY216" s="606" t="s">
        <v>2375</v>
      </c>
      <c r="BZ216" s="607" t="s">
        <v>225</v>
      </c>
      <c r="CA216" s="606" t="s">
        <v>2375</v>
      </c>
      <c r="CB216" s="607" t="s">
        <v>225</v>
      </c>
      <c r="CC216" s="606" t="s">
        <v>2375</v>
      </c>
      <c r="CD216" s="608" t="s">
        <v>225</v>
      </c>
      <c r="CE216" s="606" t="s">
        <v>2375</v>
      </c>
      <c r="CF216" s="607" t="s">
        <v>225</v>
      </c>
      <c r="CG216" s="608" t="s">
        <v>2375</v>
      </c>
      <c r="CH216" s="607" t="s">
        <v>225</v>
      </c>
    </row>
    <row r="217" spans="1:86" x14ac:dyDescent="0.25">
      <c r="A217" s="54" t="s">
        <v>2347</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2478</v>
      </c>
      <c r="C218" s="678" t="s">
        <v>2479</v>
      </c>
      <c r="D218" s="678" t="s">
        <v>2480</v>
      </c>
      <c r="E218" s="678" t="s">
        <v>2481</v>
      </c>
      <c r="F218" s="678" t="s">
        <v>2481</v>
      </c>
      <c r="G218" s="678" t="s">
        <v>2481</v>
      </c>
      <c r="H218" s="677" t="s">
        <v>2478</v>
      </c>
      <c r="I218" s="677" t="s">
        <v>2482</v>
      </c>
      <c r="J218" s="677" t="s">
        <v>2483</v>
      </c>
      <c r="K218" s="679" t="s">
        <v>2482</v>
      </c>
      <c r="L218" s="680" t="s">
        <v>2482</v>
      </c>
      <c r="M218" s="681" t="s">
        <v>2484</v>
      </c>
      <c r="N218" s="682" t="s">
        <v>2484</v>
      </c>
      <c r="O218" s="678" t="s">
        <v>2484</v>
      </c>
      <c r="P218" s="682" t="s">
        <v>2484</v>
      </c>
      <c r="Q218" s="678" t="s">
        <v>2484</v>
      </c>
      <c r="R218" s="682" t="s">
        <v>2484</v>
      </c>
      <c r="S218" s="678" t="s">
        <v>2484</v>
      </c>
      <c r="T218" s="682" t="s">
        <v>2484</v>
      </c>
      <c r="U218" s="678" t="s">
        <v>2484</v>
      </c>
      <c r="V218" s="682" t="s">
        <v>2484</v>
      </c>
      <c r="W218" s="678" t="s">
        <v>2484</v>
      </c>
      <c r="X218" s="681" t="s">
        <v>2484</v>
      </c>
      <c r="Y218" s="678" t="s">
        <v>2484</v>
      </c>
      <c r="Z218" s="682" t="s">
        <v>2484</v>
      </c>
      <c r="AA218" s="678" t="s">
        <v>2484</v>
      </c>
      <c r="AB218" s="682" t="s">
        <v>2484</v>
      </c>
      <c r="AC218" s="678" t="s">
        <v>2484</v>
      </c>
      <c r="AD218" s="682" t="s">
        <v>2484</v>
      </c>
      <c r="AE218" s="678" t="s">
        <v>2484</v>
      </c>
      <c r="AF218" s="681" t="s">
        <v>2484</v>
      </c>
      <c r="AG218" s="678" t="s">
        <v>2484</v>
      </c>
      <c r="AH218" s="681" t="s">
        <v>2484</v>
      </c>
      <c r="AI218" s="678" t="s">
        <v>2484</v>
      </c>
      <c r="AJ218" s="682" t="s">
        <v>2484</v>
      </c>
      <c r="AK218" s="681" t="s">
        <v>2484</v>
      </c>
      <c r="AL218" s="681" t="s">
        <v>2484</v>
      </c>
      <c r="AM218" s="678" t="s">
        <v>2484</v>
      </c>
      <c r="AN218" s="682" t="s">
        <v>2484</v>
      </c>
      <c r="AO218" s="678" t="s">
        <v>2484</v>
      </c>
      <c r="AP218" s="682" t="s">
        <v>2484</v>
      </c>
      <c r="AQ218" s="678" t="s">
        <v>2484</v>
      </c>
      <c r="AR218" s="682" t="s">
        <v>2484</v>
      </c>
      <c r="AS218" s="678" t="s">
        <v>2484</v>
      </c>
      <c r="AT218" s="682" t="s">
        <v>2484</v>
      </c>
      <c r="AU218" s="678" t="s">
        <v>2484</v>
      </c>
      <c r="AV218" s="682" t="s">
        <v>2484</v>
      </c>
      <c r="AW218" s="678" t="s">
        <v>2484</v>
      </c>
      <c r="AX218" s="682" t="s">
        <v>2484</v>
      </c>
      <c r="AY218" s="678" t="s">
        <v>2485</v>
      </c>
      <c r="AZ218" s="682" t="s">
        <v>2485</v>
      </c>
      <c r="BA218" s="678" t="s">
        <v>2484</v>
      </c>
      <c r="BB218" s="681" t="s">
        <v>2484</v>
      </c>
      <c r="BC218" s="678" t="s">
        <v>2484</v>
      </c>
      <c r="BD218" s="681" t="s">
        <v>2484</v>
      </c>
      <c r="BE218" s="678" t="s">
        <v>2484</v>
      </c>
      <c r="BF218" s="682" t="s">
        <v>2484</v>
      </c>
      <c r="BG218" s="678" t="s">
        <v>2484</v>
      </c>
      <c r="BH218" s="682" t="s">
        <v>2484</v>
      </c>
      <c r="BI218" s="678" t="s">
        <v>2484</v>
      </c>
      <c r="BJ218" s="682" t="s">
        <v>2484</v>
      </c>
      <c r="BK218" s="678" t="s">
        <v>2484</v>
      </c>
      <c r="BL218" s="682" t="s">
        <v>2484</v>
      </c>
      <c r="BM218" s="678" t="s">
        <v>2484</v>
      </c>
      <c r="BN218" s="682" t="s">
        <v>2484</v>
      </c>
      <c r="BO218" s="678" t="s">
        <v>2484</v>
      </c>
      <c r="BP218" s="682" t="s">
        <v>2484</v>
      </c>
      <c r="BQ218" s="678" t="s">
        <v>2484</v>
      </c>
      <c r="BR218" s="682" t="s">
        <v>2484</v>
      </c>
      <c r="BS218" s="678" t="s">
        <v>2484</v>
      </c>
      <c r="BT218" s="682" t="s">
        <v>2484</v>
      </c>
      <c r="BU218" s="678" t="s">
        <v>2484</v>
      </c>
      <c r="BV218" s="682" t="s">
        <v>2484</v>
      </c>
      <c r="BW218" s="678" t="s">
        <v>2426</v>
      </c>
      <c r="BX218" s="682" t="s">
        <v>2426</v>
      </c>
      <c r="BY218" s="678" t="s">
        <v>2484</v>
      </c>
      <c r="BZ218" s="682" t="s">
        <v>2484</v>
      </c>
      <c r="CA218" s="678" t="s">
        <v>2484</v>
      </c>
      <c r="CB218" s="682" t="s">
        <v>2484</v>
      </c>
      <c r="CC218" s="678" t="s">
        <v>2484</v>
      </c>
      <c r="CD218" s="681" t="s">
        <v>2484</v>
      </c>
      <c r="CE218" s="678" t="s">
        <v>2484</v>
      </c>
      <c r="CF218" s="682" t="s">
        <v>2484</v>
      </c>
      <c r="CG218" s="681" t="s">
        <v>2484</v>
      </c>
      <c r="CH218" s="682" t="s">
        <v>2484</v>
      </c>
    </row>
    <row r="219" spans="1:86" x14ac:dyDescent="0.25">
      <c r="A219" s="54" t="s">
        <v>2348</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2486</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2221</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2350</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2351</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2352</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2353</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2376</v>
      </c>
    </row>
    <row r="240" spans="1:155" ht="63.75" customHeight="1" x14ac:dyDescent="0.25">
      <c r="A240" s="701"/>
      <c r="B240" s="1149" t="s">
        <v>2201</v>
      </c>
      <c r="C240" s="1150"/>
      <c r="D240" s="1149" t="s">
        <v>2488</v>
      </c>
      <c r="E240" s="1150"/>
      <c r="F240" s="1149" t="s">
        <v>2489</v>
      </c>
      <c r="G240" s="1150"/>
      <c r="H240" s="1149" t="s">
        <v>2490</v>
      </c>
      <c r="I240" s="1150"/>
      <c r="J240" s="1149" t="s">
        <v>2491</v>
      </c>
      <c r="K240" s="1150"/>
      <c r="L240" s="1149" t="s">
        <v>2492</v>
      </c>
      <c r="M240" s="1150"/>
      <c r="N240" s="1149" t="s">
        <v>2493</v>
      </c>
      <c r="O240" s="1150"/>
      <c r="P240" s="1149" t="s">
        <v>2212</v>
      </c>
      <c r="Q240" s="1150"/>
      <c r="R240" s="1149" t="s">
        <v>2209</v>
      </c>
      <c r="S240" s="1150"/>
      <c r="T240" s="1149" t="s">
        <v>2494</v>
      </c>
      <c r="U240" s="1150"/>
      <c r="V240" s="1149" t="s">
        <v>2495</v>
      </c>
      <c r="W240" s="1150"/>
      <c r="X240" s="1149" t="s">
        <v>2496</v>
      </c>
      <c r="Y240" s="1150"/>
      <c r="Z240" s="1149" t="s">
        <v>2497</v>
      </c>
      <c r="AA240" s="1150"/>
      <c r="AB240" s="1149" t="s">
        <v>2213</v>
      </c>
      <c r="AC240" s="1150"/>
      <c r="AD240" s="1149" t="s">
        <v>2498</v>
      </c>
      <c r="AE240" s="1150"/>
      <c r="AF240" s="1149" t="s">
        <v>2499</v>
      </c>
      <c r="AG240" s="1150"/>
      <c r="AH240" s="1149" t="s">
        <v>2500</v>
      </c>
      <c r="AI240" s="1150"/>
      <c r="AJ240" s="1149" t="s">
        <v>2501</v>
      </c>
      <c r="AK240" s="1150"/>
      <c r="AL240" s="1149" t="s">
        <v>2502</v>
      </c>
      <c r="AM240" s="1150"/>
      <c r="AN240" s="1149" t="s">
        <v>2503</v>
      </c>
      <c r="AO240" s="1150"/>
      <c r="AP240" s="1149" t="s">
        <v>2504</v>
      </c>
      <c r="AQ240" s="1150"/>
      <c r="AR240" s="1149" t="s">
        <v>2505</v>
      </c>
      <c r="AS240" s="1150"/>
      <c r="AT240" s="1149" t="s">
        <v>2581</v>
      </c>
      <c r="AU240" s="1150"/>
      <c r="AV240" s="1149" t="s">
        <v>2586</v>
      </c>
      <c r="AW240" s="1150"/>
      <c r="AX240" s="1149" t="s">
        <v>2606</v>
      </c>
      <c r="AY240" s="1150"/>
      <c r="AZ240" s="1149" t="s">
        <v>2506</v>
      </c>
      <c r="BA240" s="1150"/>
      <c r="BB240" s="1149" t="s">
        <v>2603</v>
      </c>
      <c r="BC240" s="1150"/>
      <c r="BD240" s="1149" t="s">
        <v>2607</v>
      </c>
      <c r="BE240" s="1150"/>
      <c r="BF240" s="1149" t="s">
        <v>2608</v>
      </c>
      <c r="BG240" s="1150"/>
      <c r="BH240" s="1149" t="s">
        <v>2609</v>
      </c>
      <c r="BI240" s="1150"/>
      <c r="BJ240" s="1149" t="s">
        <v>2507</v>
      </c>
      <c r="BK240" s="1150"/>
      <c r="BL240" s="1149" t="s">
        <v>2508</v>
      </c>
      <c r="BM240" s="1150"/>
      <c r="BN240" s="1149" t="s">
        <v>2509</v>
      </c>
      <c r="BO240" s="1150"/>
      <c r="BP240" s="1149" t="s">
        <v>2510</v>
      </c>
      <c r="BQ240" s="1150"/>
      <c r="BR240" s="1149" t="s">
        <v>2511</v>
      </c>
      <c r="BS240" s="1150"/>
      <c r="BT240" s="1149" t="s">
        <v>2512</v>
      </c>
      <c r="BU240" s="1150"/>
      <c r="BV240" s="1149" t="s">
        <v>2513</v>
      </c>
      <c r="BW240" s="1150"/>
      <c r="BX240" s="1149" t="s">
        <v>2514</v>
      </c>
      <c r="BY240" s="1150"/>
      <c r="BZ240" s="1149" t="s">
        <v>2515</v>
      </c>
      <c r="CA240" s="1150"/>
      <c r="CB240" s="1149" t="s">
        <v>2516</v>
      </c>
      <c r="CC240" s="1150"/>
      <c r="CD240" s="1149" t="s">
        <v>2517</v>
      </c>
      <c r="CE240" s="1151"/>
      <c r="CF240" s="1149" t="s">
        <v>2518</v>
      </c>
      <c r="CG240" s="1150"/>
      <c r="CH240" s="1149" t="s">
        <v>2519</v>
      </c>
      <c r="CI240" s="1150"/>
      <c r="CJ240" s="1149" t="s">
        <v>2520</v>
      </c>
      <c r="CK240" s="1150"/>
      <c r="CL240" s="1149" t="s">
        <v>2521</v>
      </c>
      <c r="CM240" s="1150"/>
      <c r="CN240" s="1149" t="s">
        <v>2522</v>
      </c>
      <c r="CO240" s="1150"/>
      <c r="CP240" s="1149" t="s">
        <v>2523</v>
      </c>
      <c r="CQ240" s="1150"/>
      <c r="CR240" s="1149" t="s">
        <v>2581</v>
      </c>
      <c r="CS240" s="1150"/>
      <c r="CT240" s="1149" t="s">
        <v>2582</v>
      </c>
      <c r="CU240" s="1150"/>
      <c r="CV240" s="1149" t="s">
        <v>2583</v>
      </c>
      <c r="CW240" s="1150"/>
      <c r="CX240" s="1149" t="s">
        <v>2584</v>
      </c>
      <c r="CY240" s="1150"/>
      <c r="CZ240" s="1149" t="s">
        <v>2585</v>
      </c>
      <c r="DA240" s="1150"/>
      <c r="DB240" s="1149" t="s">
        <v>2586</v>
      </c>
      <c r="DC240" s="1150"/>
      <c r="DD240" s="1149" t="s">
        <v>2587</v>
      </c>
      <c r="DE240" s="1150"/>
      <c r="DF240" s="1149" t="s">
        <v>2588</v>
      </c>
      <c r="DG240" s="1150"/>
      <c r="DH240" s="1149" t="s">
        <v>2589</v>
      </c>
      <c r="DI240" s="1150"/>
      <c r="DJ240" s="1149" t="s">
        <v>2590</v>
      </c>
      <c r="DK240" s="1150"/>
      <c r="DL240" s="1149" t="s">
        <v>2591</v>
      </c>
      <c r="DM240" s="1150"/>
      <c r="DN240" s="1149" t="s">
        <v>2592</v>
      </c>
      <c r="DO240" s="1150"/>
      <c r="DP240" s="1149" t="s">
        <v>2593</v>
      </c>
      <c r="DQ240" s="1150"/>
      <c r="DR240" s="1149" t="s">
        <v>2594</v>
      </c>
      <c r="DS240" s="1150"/>
      <c r="DT240" s="1149" t="s">
        <v>2595</v>
      </c>
      <c r="DU240" s="1150"/>
      <c r="DV240" s="1149" t="s">
        <v>2596</v>
      </c>
      <c r="DW240" s="1150"/>
      <c r="DX240" s="1149" t="s">
        <v>2597</v>
      </c>
      <c r="DY240" s="1150"/>
      <c r="DZ240" s="1149" t="s">
        <v>2598</v>
      </c>
      <c r="EA240" s="1150"/>
      <c r="EB240" s="1149" t="s">
        <v>2599</v>
      </c>
      <c r="EC240" s="1150"/>
      <c r="ED240" s="1149" t="s">
        <v>2600</v>
      </c>
      <c r="EE240" s="1150"/>
      <c r="EF240" s="1149" t="s">
        <v>2601</v>
      </c>
      <c r="EG240" s="1150"/>
      <c r="EH240" s="1149" t="s">
        <v>2602</v>
      </c>
      <c r="EI240" s="1150"/>
      <c r="EJ240" s="1149" t="s">
        <v>2603</v>
      </c>
      <c r="EK240" s="1150"/>
      <c r="EL240" s="1149" t="s">
        <v>2604</v>
      </c>
      <c r="EM240" s="1150"/>
      <c r="EN240" s="1149" t="s">
        <v>2524</v>
      </c>
      <c r="EO240" s="1150"/>
      <c r="EP240" s="1149" t="s">
        <v>2525</v>
      </c>
      <c r="EQ240" s="1150"/>
      <c r="ER240" s="1149" t="s">
        <v>2526</v>
      </c>
      <c r="ES240" s="1150"/>
      <c r="ET240" s="1149" t="s">
        <v>2527</v>
      </c>
      <c r="EU240" s="1150"/>
      <c r="EV240" s="1149" t="s">
        <v>2528</v>
      </c>
      <c r="EW240" s="1150"/>
      <c r="EX240" s="1149" t="s">
        <v>2605</v>
      </c>
      <c r="EY240" s="1150"/>
    </row>
    <row r="241" spans="1:155" x14ac:dyDescent="0.25">
      <c r="A241" s="702"/>
      <c r="B241" s="626" t="s">
        <v>2375</v>
      </c>
      <c r="C241" s="627" t="s">
        <v>225</v>
      </c>
      <c r="D241" s="626" t="s">
        <v>2375</v>
      </c>
      <c r="E241" s="627" t="s">
        <v>225</v>
      </c>
      <c r="F241" s="626" t="s">
        <v>2375</v>
      </c>
      <c r="G241" s="627" t="s">
        <v>225</v>
      </c>
      <c r="H241" s="626" t="s">
        <v>2375</v>
      </c>
      <c r="I241" s="627" t="s">
        <v>225</v>
      </c>
      <c r="J241" s="626" t="s">
        <v>2375</v>
      </c>
      <c r="K241" s="627" t="s">
        <v>225</v>
      </c>
      <c r="L241" s="626" t="s">
        <v>2375</v>
      </c>
      <c r="M241" s="627" t="s">
        <v>225</v>
      </c>
      <c r="N241" s="626" t="s">
        <v>2375</v>
      </c>
      <c r="O241" s="627" t="s">
        <v>225</v>
      </c>
      <c r="P241" s="626" t="s">
        <v>2375</v>
      </c>
      <c r="Q241" s="627" t="s">
        <v>225</v>
      </c>
      <c r="R241" s="626" t="s">
        <v>2375</v>
      </c>
      <c r="S241" s="627" t="s">
        <v>225</v>
      </c>
      <c r="T241" s="626" t="s">
        <v>2375</v>
      </c>
      <c r="U241" s="627" t="s">
        <v>225</v>
      </c>
      <c r="V241" s="626" t="s">
        <v>2375</v>
      </c>
      <c r="W241" s="627" t="s">
        <v>225</v>
      </c>
      <c r="X241" s="626" t="s">
        <v>2375</v>
      </c>
      <c r="Y241" s="627" t="s">
        <v>225</v>
      </c>
      <c r="Z241" s="626" t="s">
        <v>2375</v>
      </c>
      <c r="AA241" s="627" t="s">
        <v>225</v>
      </c>
      <c r="AB241" s="626" t="s">
        <v>2375</v>
      </c>
      <c r="AC241" s="627" t="s">
        <v>225</v>
      </c>
      <c r="AD241" s="626" t="s">
        <v>2375</v>
      </c>
      <c r="AE241" s="627" t="s">
        <v>225</v>
      </c>
      <c r="AF241" s="626" t="s">
        <v>2375</v>
      </c>
      <c r="AG241" s="627" t="s">
        <v>225</v>
      </c>
      <c r="AH241" s="626" t="s">
        <v>2375</v>
      </c>
      <c r="AI241" s="627" t="s">
        <v>225</v>
      </c>
      <c r="AJ241" s="626" t="s">
        <v>2375</v>
      </c>
      <c r="AK241" s="627" t="s">
        <v>225</v>
      </c>
      <c r="AL241" s="626" t="s">
        <v>2375</v>
      </c>
      <c r="AM241" s="627" t="s">
        <v>225</v>
      </c>
      <c r="AN241" s="626" t="s">
        <v>2375</v>
      </c>
      <c r="AO241" s="627" t="s">
        <v>225</v>
      </c>
      <c r="AP241" s="626" t="s">
        <v>2375</v>
      </c>
      <c r="AQ241" s="627" t="s">
        <v>225</v>
      </c>
      <c r="AR241" s="626" t="s">
        <v>2375</v>
      </c>
      <c r="AS241" s="627" t="s">
        <v>225</v>
      </c>
      <c r="AT241" s="626" t="s">
        <v>2375</v>
      </c>
      <c r="AU241" s="627" t="s">
        <v>225</v>
      </c>
      <c r="AV241" s="626" t="s">
        <v>2375</v>
      </c>
      <c r="AW241" s="627" t="s">
        <v>225</v>
      </c>
      <c r="AX241" s="626" t="s">
        <v>2375</v>
      </c>
      <c r="AY241" s="627" t="s">
        <v>225</v>
      </c>
      <c r="AZ241" s="626" t="s">
        <v>2375</v>
      </c>
      <c r="BA241" s="627" t="s">
        <v>225</v>
      </c>
      <c r="BB241" s="626" t="s">
        <v>2375</v>
      </c>
      <c r="BC241" s="627" t="s">
        <v>225</v>
      </c>
      <c r="BD241" s="626" t="s">
        <v>2375</v>
      </c>
      <c r="BE241" s="627" t="s">
        <v>225</v>
      </c>
      <c r="BF241" s="626" t="s">
        <v>2375</v>
      </c>
      <c r="BG241" s="627" t="s">
        <v>225</v>
      </c>
      <c r="BH241" s="626" t="s">
        <v>2375</v>
      </c>
      <c r="BI241" s="627" t="s">
        <v>225</v>
      </c>
      <c r="BJ241" s="626" t="s">
        <v>2375</v>
      </c>
      <c r="BK241" s="627" t="s">
        <v>225</v>
      </c>
      <c r="BL241" s="626" t="s">
        <v>2375</v>
      </c>
      <c r="BM241" s="627" t="s">
        <v>225</v>
      </c>
      <c r="BN241" s="626" t="s">
        <v>2375</v>
      </c>
      <c r="BO241" s="627" t="s">
        <v>225</v>
      </c>
      <c r="BP241" s="626" t="s">
        <v>2375</v>
      </c>
      <c r="BQ241" s="627" t="s">
        <v>225</v>
      </c>
      <c r="BR241" s="626" t="s">
        <v>2375</v>
      </c>
      <c r="BS241" s="627" t="s">
        <v>225</v>
      </c>
      <c r="BT241" s="626" t="s">
        <v>2375</v>
      </c>
      <c r="BU241" s="627" t="s">
        <v>225</v>
      </c>
      <c r="BV241" s="626" t="s">
        <v>2375</v>
      </c>
      <c r="BW241" s="627" t="s">
        <v>225</v>
      </c>
      <c r="BX241" s="626" t="s">
        <v>2375</v>
      </c>
      <c r="BY241" s="627" t="s">
        <v>225</v>
      </c>
      <c r="BZ241" s="626" t="s">
        <v>2375</v>
      </c>
      <c r="CA241" s="627" t="s">
        <v>225</v>
      </c>
      <c r="CB241" s="626" t="s">
        <v>2375</v>
      </c>
      <c r="CC241" s="627" t="s">
        <v>225</v>
      </c>
      <c r="CD241" s="626" t="s">
        <v>2375</v>
      </c>
      <c r="CE241" s="628" t="s">
        <v>225</v>
      </c>
      <c r="CF241" s="626" t="s">
        <v>2375</v>
      </c>
      <c r="CG241" s="627" t="s">
        <v>225</v>
      </c>
      <c r="CH241" s="626" t="s">
        <v>2375</v>
      </c>
      <c r="CI241" s="627" t="s">
        <v>225</v>
      </c>
      <c r="CJ241" s="626" t="s">
        <v>2375</v>
      </c>
      <c r="CK241" s="627" t="s">
        <v>225</v>
      </c>
      <c r="CL241" s="626" t="s">
        <v>2375</v>
      </c>
      <c r="CM241" s="627" t="s">
        <v>225</v>
      </c>
      <c r="CN241" s="626" t="s">
        <v>2375</v>
      </c>
      <c r="CO241" s="627" t="s">
        <v>225</v>
      </c>
      <c r="CP241" s="626" t="s">
        <v>2375</v>
      </c>
      <c r="CQ241" s="627" t="s">
        <v>225</v>
      </c>
      <c r="CR241" s="626" t="s">
        <v>2375</v>
      </c>
      <c r="CS241" s="627" t="s">
        <v>225</v>
      </c>
      <c r="CT241" s="626" t="s">
        <v>2375</v>
      </c>
      <c r="CU241" s="627" t="s">
        <v>225</v>
      </c>
      <c r="CV241" s="626" t="s">
        <v>2375</v>
      </c>
      <c r="CW241" s="627" t="s">
        <v>225</v>
      </c>
      <c r="CX241" s="626" t="s">
        <v>2375</v>
      </c>
      <c r="CY241" s="627" t="s">
        <v>225</v>
      </c>
      <c r="CZ241" s="626" t="s">
        <v>2375</v>
      </c>
      <c r="DA241" s="627" t="s">
        <v>225</v>
      </c>
      <c r="DB241" s="626" t="s">
        <v>2375</v>
      </c>
      <c r="DC241" s="627" t="s">
        <v>225</v>
      </c>
      <c r="DD241" s="626" t="s">
        <v>2375</v>
      </c>
      <c r="DE241" s="627" t="s">
        <v>225</v>
      </c>
      <c r="DF241" s="626" t="s">
        <v>2375</v>
      </c>
      <c r="DG241" s="627" t="s">
        <v>225</v>
      </c>
      <c r="DH241" s="626" t="s">
        <v>2375</v>
      </c>
      <c r="DI241" s="627" t="s">
        <v>225</v>
      </c>
      <c r="DJ241" s="626" t="s">
        <v>2375</v>
      </c>
      <c r="DK241" s="627" t="s">
        <v>225</v>
      </c>
      <c r="DL241" s="626" t="s">
        <v>2375</v>
      </c>
      <c r="DM241" s="627" t="s">
        <v>225</v>
      </c>
      <c r="DN241" s="626" t="s">
        <v>2375</v>
      </c>
      <c r="DO241" s="627" t="s">
        <v>225</v>
      </c>
      <c r="DP241" s="626" t="s">
        <v>2375</v>
      </c>
      <c r="DQ241" s="627" t="s">
        <v>225</v>
      </c>
      <c r="DR241" s="626" t="s">
        <v>2375</v>
      </c>
      <c r="DS241" s="627" t="s">
        <v>225</v>
      </c>
      <c r="DT241" s="626" t="s">
        <v>2375</v>
      </c>
      <c r="DU241" s="627" t="s">
        <v>225</v>
      </c>
      <c r="DV241" s="626" t="s">
        <v>2375</v>
      </c>
      <c r="DW241" s="627" t="s">
        <v>225</v>
      </c>
      <c r="DX241" s="626" t="s">
        <v>2375</v>
      </c>
      <c r="DY241" s="627" t="s">
        <v>225</v>
      </c>
      <c r="DZ241" s="626" t="s">
        <v>2375</v>
      </c>
      <c r="EA241" s="627" t="s">
        <v>225</v>
      </c>
      <c r="EB241" s="626" t="s">
        <v>2375</v>
      </c>
      <c r="EC241" s="627" t="s">
        <v>225</v>
      </c>
      <c r="ED241" s="626" t="s">
        <v>2375</v>
      </c>
      <c r="EE241" s="627" t="s">
        <v>225</v>
      </c>
      <c r="EF241" s="626" t="s">
        <v>2375</v>
      </c>
      <c r="EG241" s="627" t="s">
        <v>225</v>
      </c>
      <c r="EH241" s="626" t="s">
        <v>2375</v>
      </c>
      <c r="EI241" s="627" t="s">
        <v>225</v>
      </c>
      <c r="EJ241" s="626" t="s">
        <v>2375</v>
      </c>
      <c r="EK241" s="627" t="s">
        <v>225</v>
      </c>
      <c r="EL241" s="626" t="s">
        <v>2375</v>
      </c>
      <c r="EM241" s="627" t="s">
        <v>225</v>
      </c>
      <c r="EN241" s="626" t="s">
        <v>2375</v>
      </c>
      <c r="EO241" s="627" t="s">
        <v>225</v>
      </c>
      <c r="EP241" s="626" t="s">
        <v>2375</v>
      </c>
      <c r="EQ241" s="627" t="s">
        <v>225</v>
      </c>
      <c r="ER241" s="626" t="s">
        <v>2375</v>
      </c>
      <c r="ES241" s="627" t="s">
        <v>225</v>
      </c>
      <c r="ET241" s="626" t="s">
        <v>2375</v>
      </c>
      <c r="EU241" s="627" t="s">
        <v>225</v>
      </c>
      <c r="EV241" s="626" t="s">
        <v>2375</v>
      </c>
      <c r="EW241" s="627" t="s">
        <v>225</v>
      </c>
      <c r="EX241" s="626" t="s">
        <v>2375</v>
      </c>
      <c r="EY241" s="627" t="s">
        <v>225</v>
      </c>
    </row>
    <row r="242" spans="1:155" x14ac:dyDescent="0.25">
      <c r="A242" s="703" t="s">
        <v>2347</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2348</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2486</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2221</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2350</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2351</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2352</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2353</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2376</v>
      </c>
    </row>
    <row r="264" spans="1:155" s="28" customFormat="1" ht="75" x14ac:dyDescent="0.25">
      <c r="A264" s="204"/>
      <c r="B264" s="714" t="s">
        <v>2529</v>
      </c>
      <c r="C264" s="706" t="s">
        <v>2566</v>
      </c>
      <c r="D264" s="706" t="s">
        <v>2222</v>
      </c>
      <c r="E264" s="706" t="s">
        <v>2553</v>
      </c>
      <c r="F264" s="706" t="s">
        <v>2567</v>
      </c>
      <c r="G264" s="706" t="s">
        <v>2223</v>
      </c>
      <c r="H264" s="706" t="s">
        <v>2554</v>
      </c>
      <c r="I264" s="706" t="s">
        <v>2568</v>
      </c>
      <c r="J264" s="706" t="s">
        <v>2569</v>
      </c>
      <c r="K264" s="706" t="s">
        <v>2570</v>
      </c>
      <c r="L264" s="706" t="s">
        <v>2571</v>
      </c>
      <c r="M264" s="706" t="s">
        <v>223</v>
      </c>
      <c r="N264" s="706" t="s">
        <v>2572</v>
      </c>
      <c r="O264" s="706" t="s">
        <v>2573</v>
      </c>
      <c r="P264" s="706" t="s">
        <v>2574</v>
      </c>
      <c r="Q264" s="706" t="s">
        <v>2575</v>
      </c>
      <c r="R264" s="706" t="s">
        <v>2576</v>
      </c>
      <c r="S264" s="706" t="s">
        <v>2577</v>
      </c>
      <c r="T264" s="706" t="s">
        <v>2578</v>
      </c>
      <c r="U264" s="706" t="s">
        <v>239</v>
      </c>
      <c r="V264" s="706" t="s">
        <v>2530</v>
      </c>
      <c r="W264" s="706" t="s">
        <v>2531</v>
      </c>
      <c r="X264" s="706" t="s">
        <v>2532</v>
      </c>
      <c r="Y264" s="706" t="s">
        <v>2533</v>
      </c>
      <c r="Z264" s="706" t="s">
        <v>2534</v>
      </c>
      <c r="AA264" s="706" t="s">
        <v>2535</v>
      </c>
      <c r="AB264" s="706" t="s">
        <v>2579</v>
      </c>
      <c r="AC264" s="706" t="s">
        <v>2580</v>
      </c>
      <c r="AD264" s="706" t="s">
        <v>2536</v>
      </c>
      <c r="AE264" s="706" t="s">
        <v>2537</v>
      </c>
      <c r="AF264" s="706" t="s">
        <v>2538</v>
      </c>
      <c r="AG264" s="706" t="s">
        <v>2539</v>
      </c>
      <c r="AH264" s="706" t="s">
        <v>2540</v>
      </c>
      <c r="AI264" s="706" t="s">
        <v>2541</v>
      </c>
      <c r="AJ264" s="706" t="s">
        <v>2542</v>
      </c>
      <c r="AK264" s="706" t="s">
        <v>2543</v>
      </c>
      <c r="AL264" s="706" t="s">
        <v>2544</v>
      </c>
      <c r="AM264" s="706" t="s">
        <v>2545</v>
      </c>
      <c r="AN264" s="707" t="s">
        <v>2546</v>
      </c>
    </row>
    <row r="265" spans="1:155" s="28" customFormat="1" x14ac:dyDescent="0.25">
      <c r="A265" s="715" t="s">
        <v>2375</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2348</v>
      </c>
      <c r="B266" s="717" t="s">
        <v>2548</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2349</v>
      </c>
      <c r="B267" s="717" t="s">
        <v>2548</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2221</v>
      </c>
      <c r="B268" s="717" t="s">
        <v>2548</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2548</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2350</v>
      </c>
      <c r="B270" s="717" t="s">
        <v>2548</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2351</v>
      </c>
      <c r="B271" s="717" t="s">
        <v>2549</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2550</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2550</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2352</v>
      </c>
      <c r="B274" s="717" t="s">
        <v>2550</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2550</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2550</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2550</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2550</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2550</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2550</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2550</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2550</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2353</v>
      </c>
      <c r="B283" s="719" t="s">
        <v>2550</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2551</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2547</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2348</v>
      </c>
      <c r="B286" s="717" t="s">
        <v>2548</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2349</v>
      </c>
      <c r="B287" s="717" t="s">
        <v>2548</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2221</v>
      </c>
      <c r="B288" s="717" t="s">
        <v>2548</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2548</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2350</v>
      </c>
      <c r="B290" s="717" t="s">
        <v>2548</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2351</v>
      </c>
      <c r="B291" s="717" t="s">
        <v>2549</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2550</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2550</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2352</v>
      </c>
      <c r="B294" s="717" t="s">
        <v>2550</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2550</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2550</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2550</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2550</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2550</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2550</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2550</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2550</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2353</v>
      </c>
      <c r="B303" s="717" t="s">
        <v>2550</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2551</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2644</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2348</v>
      </c>
      <c r="B306" s="717" t="s">
        <v>2548</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2349</v>
      </c>
      <c r="B307" s="717" t="s">
        <v>2548</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2221</v>
      </c>
      <c r="B308" s="717" t="s">
        <v>2548</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2548</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2350</v>
      </c>
      <c r="B310" s="717" t="s">
        <v>2548</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2351</v>
      </c>
      <c r="B311" s="717" t="s">
        <v>2549</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2550</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2550</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2352</v>
      </c>
      <c r="B314" s="717" t="s">
        <v>2550</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2550</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2550</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2550</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2550</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2550</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2550</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2550</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2550</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2353</v>
      </c>
      <c r="B323" s="717" t="s">
        <v>2550</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2551</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2320</v>
      </c>
      <c r="B1" s="70"/>
      <c r="C1" s="70"/>
      <c r="D1" s="70"/>
      <c r="E1" s="70"/>
      <c r="F1" s="70"/>
      <c r="G1" s="70"/>
      <c r="H1" s="70"/>
      <c r="I1" s="70"/>
      <c r="J1" s="70"/>
      <c r="K1" s="70"/>
      <c r="L1" s="70"/>
      <c r="M1" s="1171" t="s">
        <v>2701</v>
      </c>
      <c r="N1" s="1171"/>
      <c r="O1" s="1171"/>
      <c r="P1" s="1171"/>
      <c r="Q1" s="960"/>
      <c r="R1" s="285" t="s">
        <v>2321</v>
      </c>
    </row>
    <row r="2" spans="1:34" ht="15.75" x14ac:dyDescent="0.25">
      <c r="A2" s="1172" t="s">
        <v>597</v>
      </c>
      <c r="B2" s="1173"/>
      <c r="C2" s="1173"/>
      <c r="D2" s="1173"/>
      <c r="E2" s="1173"/>
      <c r="F2" s="1173"/>
      <c r="G2" s="1173"/>
      <c r="H2" s="1173"/>
      <c r="I2" s="1173"/>
      <c r="J2" s="1173"/>
      <c r="M2" s="1171"/>
      <c r="N2" s="1171"/>
      <c r="O2" s="1171"/>
      <c r="P2" s="1171"/>
      <c r="Q2" s="960"/>
      <c r="R2" s="1174" t="s">
        <v>980</v>
      </c>
      <c r="S2" s="1058"/>
      <c r="T2" s="1058"/>
      <c r="U2" s="1058"/>
      <c r="V2" s="1058"/>
      <c r="W2" s="1058"/>
      <c r="X2" s="1058"/>
      <c r="Y2" s="1058"/>
      <c r="AA2" s="1058" t="s">
        <v>990</v>
      </c>
      <c r="AB2" s="1058"/>
      <c r="AC2" s="1058"/>
      <c r="AD2" s="1058"/>
      <c r="AE2" s="1058"/>
      <c r="AF2" s="1058"/>
      <c r="AG2" s="1058"/>
      <c r="AH2" s="1058"/>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1"/>
      <c r="N3" s="1171"/>
      <c r="O3" s="1171"/>
      <c r="P3" s="1171"/>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1"/>
      <c r="N4" s="1171"/>
      <c r="O4" s="1171"/>
      <c r="P4" s="1171"/>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1"/>
      <c r="N5" s="1171"/>
      <c r="O5" s="1171"/>
      <c r="P5" s="1171"/>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1"/>
      <c r="N6" s="1171"/>
      <c r="O6" s="1171"/>
      <c r="P6" s="1171"/>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1"/>
      <c r="N7" s="1171"/>
      <c r="O7" s="1171"/>
      <c r="P7" s="1171"/>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1"/>
      <c r="N8" s="1171"/>
      <c r="O8" s="1171"/>
      <c r="P8" s="1171"/>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69" t="s">
        <v>344</v>
      </c>
      <c r="B18" s="1170"/>
      <c r="C18" s="1170"/>
      <c r="D18" s="1170"/>
      <c r="E18" s="1170"/>
      <c r="F18" s="1170"/>
      <c r="G18" s="1170"/>
      <c r="H18" s="1170"/>
      <c r="I18" s="1170"/>
      <c r="J18" s="1170"/>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69" t="s">
        <v>596</v>
      </c>
      <c r="B30" s="1170"/>
      <c r="C30" s="1170"/>
      <c r="D30" s="1170"/>
      <c r="E30" s="1170"/>
      <c r="F30" s="1170"/>
      <c r="G30" s="1170"/>
      <c r="H30" s="1170"/>
      <c r="I30" s="1170"/>
      <c r="J30" s="1170"/>
      <c r="R30" s="1174" t="s">
        <v>1620</v>
      </c>
      <c r="S30" s="1058"/>
      <c r="T30" s="1058"/>
      <c r="U30" s="1058"/>
      <c r="V30" s="1058"/>
      <c r="W30" s="1058"/>
      <c r="X30" s="1058"/>
      <c r="Y30" s="1058"/>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75" t="s">
        <v>1874</v>
      </c>
      <c r="AB47" s="1175"/>
      <c r="AC47" s="1175"/>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75"/>
      <c r="AB48" s="1175"/>
      <c r="AC48" s="1175"/>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75"/>
      <c r="AB49" s="1175"/>
      <c r="AC49" s="1175"/>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75"/>
      <c r="AB50" s="1175"/>
      <c r="AC50" s="1175"/>
    </row>
    <row r="51" spans="1:29" x14ac:dyDescent="0.25">
      <c r="A51" s="129"/>
      <c r="B51" s="130" t="s">
        <v>392</v>
      </c>
      <c r="R51" s="28" t="s">
        <v>1207</v>
      </c>
      <c r="S51" s="305"/>
      <c r="T51" s="305"/>
      <c r="U51" s="305"/>
      <c r="V51" s="305"/>
      <c r="W51" s="305"/>
      <c r="X51" s="305"/>
      <c r="Y51" s="305"/>
      <c r="AA51" s="1175"/>
      <c r="AB51" s="1175"/>
      <c r="AC51" s="1175"/>
    </row>
    <row r="52" spans="1:29" x14ac:dyDescent="0.25">
      <c r="A52" s="129" t="s">
        <v>393</v>
      </c>
      <c r="B52" s="130"/>
      <c r="R52" s="17" t="s">
        <v>1622</v>
      </c>
      <c r="S52" s="305">
        <v>1358.86</v>
      </c>
      <c r="T52" s="305">
        <v>1358.86</v>
      </c>
      <c r="U52" s="305">
        <v>1358.86</v>
      </c>
      <c r="V52" s="305">
        <v>1358.86</v>
      </c>
      <c r="W52" s="305">
        <v>1358.86</v>
      </c>
      <c r="X52" s="305">
        <v>1358.86</v>
      </c>
      <c r="Y52" s="305">
        <v>1358.86</v>
      </c>
      <c r="AA52" s="1175"/>
      <c r="AB52" s="1175"/>
      <c r="AC52" s="1175"/>
    </row>
    <row r="53" spans="1:29" ht="15.75" thickBot="1" x14ac:dyDescent="0.3">
      <c r="A53" s="1169" t="s">
        <v>128</v>
      </c>
      <c r="B53" s="1170"/>
      <c r="C53" s="1170"/>
      <c r="D53" s="1170"/>
      <c r="E53" s="1170"/>
      <c r="F53" s="1170"/>
      <c r="G53" s="1170"/>
      <c r="H53" s="1170"/>
      <c r="I53" s="1170"/>
      <c r="J53" s="1170"/>
      <c r="R53" s="17" t="s">
        <v>1623</v>
      </c>
      <c r="S53" s="305">
        <v>957.62599999999998</v>
      </c>
      <c r="T53" s="305">
        <v>957.62599999999998</v>
      </c>
      <c r="U53" s="305">
        <v>957.62599999999998</v>
      </c>
      <c r="V53" s="305">
        <v>957.62599999999998</v>
      </c>
      <c r="W53" s="305">
        <v>957.62599999999998</v>
      </c>
      <c r="X53" s="305">
        <v>957.62599999999998</v>
      </c>
      <c r="Y53" s="305">
        <v>957.62599999999998</v>
      </c>
      <c r="AA53" s="1175"/>
      <c r="AB53" s="1175"/>
      <c r="AC53" s="1175"/>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75"/>
      <c r="AB54" s="1175"/>
      <c r="AC54" s="1175"/>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2912</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2910</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2911</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2905</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2909</v>
      </c>
      <c r="AA90" s="212" t="s">
        <v>4622</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4638</v>
      </c>
    </row>
    <row r="92" spans="18:33" ht="15.75" thickTop="1" x14ac:dyDescent="0.25">
      <c r="R92" t="s">
        <v>2905</v>
      </c>
      <c r="S92" s="305">
        <v>5.49</v>
      </c>
      <c r="T92" s="305">
        <v>5.49</v>
      </c>
      <c r="U92" s="305">
        <v>5.49</v>
      </c>
      <c r="V92" s="305">
        <v>5.49</v>
      </c>
      <c r="W92" s="305">
        <v>5.49</v>
      </c>
      <c r="X92" s="305">
        <v>5.49</v>
      </c>
      <c r="Y92" s="305">
        <v>5.49</v>
      </c>
      <c r="AA92" t="s">
        <v>4623</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4624</v>
      </c>
      <c r="AB93" s="957">
        <v>0.76</v>
      </c>
      <c r="AC93" s="957">
        <v>0.76</v>
      </c>
      <c r="AD93" s="957">
        <v>0.76</v>
      </c>
    </row>
    <row r="94" spans="18:33" x14ac:dyDescent="0.25">
      <c r="R94" t="s">
        <v>1908</v>
      </c>
      <c r="S94" s="305">
        <v>1.84</v>
      </c>
      <c r="T94" s="305">
        <v>1.84</v>
      </c>
      <c r="U94" s="305">
        <v>1.84</v>
      </c>
      <c r="V94" s="305">
        <v>1.84</v>
      </c>
      <c r="W94" s="305">
        <v>1.84</v>
      </c>
      <c r="X94" s="305">
        <v>1.84</v>
      </c>
      <c r="Y94" s="305">
        <v>1.84</v>
      </c>
      <c r="AA94" t="s">
        <v>4696</v>
      </c>
      <c r="AB94" s="957">
        <v>0.69</v>
      </c>
      <c r="AC94" s="957">
        <v>0.69</v>
      </c>
      <c r="AD94" s="957">
        <v>0.69</v>
      </c>
    </row>
    <row r="95" spans="18:33" x14ac:dyDescent="0.25">
      <c r="R95" s="61" t="s">
        <v>1909</v>
      </c>
      <c r="AA95" t="s">
        <v>4625</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4626</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2867</v>
      </c>
      <c r="AA97" t="s">
        <v>4697</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2868</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2913</v>
      </c>
      <c r="AA101" s="159" t="s">
        <v>4630</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4638</v>
      </c>
    </row>
    <row r="103" spans="18:30" ht="15.75" thickTop="1" x14ac:dyDescent="0.25">
      <c r="R103" t="s">
        <v>2908</v>
      </c>
      <c r="S103" s="305">
        <v>113.74</v>
      </c>
      <c r="T103" s="305">
        <v>113.74</v>
      </c>
      <c r="U103" s="305">
        <v>113.74</v>
      </c>
      <c r="V103" s="305">
        <v>113.74</v>
      </c>
      <c r="W103" s="305">
        <v>113.74</v>
      </c>
      <c r="X103" s="305">
        <v>113.74</v>
      </c>
      <c r="Y103" s="305">
        <v>113.74</v>
      </c>
      <c r="AA103" t="s">
        <v>4621</v>
      </c>
      <c r="AB103" s="330">
        <v>2160</v>
      </c>
      <c r="AC103" s="330">
        <v>960</v>
      </c>
      <c r="AD103" s="330">
        <v>450</v>
      </c>
    </row>
    <row r="104" spans="18:30" x14ac:dyDescent="0.25">
      <c r="R104" t="s">
        <v>2929</v>
      </c>
      <c r="S104" s="305">
        <v>704.55531440000004</v>
      </c>
      <c r="T104" s="305">
        <v>704.55531440000004</v>
      </c>
      <c r="U104" s="305">
        <v>704.55531440000004</v>
      </c>
      <c r="V104" s="305">
        <v>704.55531440000004</v>
      </c>
      <c r="W104" s="305">
        <v>704.55531440000004</v>
      </c>
      <c r="X104" s="305">
        <v>704.55531440000004</v>
      </c>
      <c r="Y104" s="305">
        <v>704.55531440000004</v>
      </c>
      <c r="AA104" t="s">
        <v>4627</v>
      </c>
      <c r="AB104" s="330">
        <v>720</v>
      </c>
      <c r="AC104" s="330">
        <v>720</v>
      </c>
      <c r="AD104" s="330">
        <v>720</v>
      </c>
    </row>
    <row r="105" spans="18:30" x14ac:dyDescent="0.25">
      <c r="R105" t="s">
        <v>2906</v>
      </c>
      <c r="S105" s="305">
        <v>44.59</v>
      </c>
      <c r="T105" s="305">
        <v>38.15</v>
      </c>
      <c r="U105" s="305">
        <v>32.17</v>
      </c>
      <c r="V105" s="305">
        <v>28.78</v>
      </c>
      <c r="W105" s="305">
        <v>25.5</v>
      </c>
      <c r="X105" s="305">
        <v>22.34</v>
      </c>
      <c r="Y105" s="305">
        <v>19.28</v>
      </c>
      <c r="AA105" t="s">
        <v>4698</v>
      </c>
      <c r="AB105" s="330">
        <v>1420</v>
      </c>
      <c r="AC105" s="330">
        <v>1420</v>
      </c>
      <c r="AD105" s="330">
        <v>1420</v>
      </c>
    </row>
    <row r="106" spans="18:30" x14ac:dyDescent="0.25">
      <c r="R106" t="s">
        <v>2907</v>
      </c>
      <c r="S106" s="305">
        <v>28.86</v>
      </c>
      <c r="T106" s="305">
        <v>28.86</v>
      </c>
      <c r="U106" s="305">
        <v>28.86</v>
      </c>
      <c r="V106" s="305">
        <v>28.86</v>
      </c>
      <c r="W106" s="305">
        <v>28.86</v>
      </c>
      <c r="X106" s="305">
        <v>28.86</v>
      </c>
      <c r="Y106" s="305">
        <v>28.86</v>
      </c>
      <c r="AA106" t="s">
        <v>4629</v>
      </c>
      <c r="AB106" s="330">
        <f>AB103/AB95 * USD2023_to_CAD2020</f>
        <v>3179.4426654888744</v>
      </c>
      <c r="AC106" s="330">
        <f>AC103/AC95 * USD2023_to_CAD2020</f>
        <v>1351.6471234928551</v>
      </c>
      <c r="AD106" s="330">
        <f>AD103/AD95 * USD2017_to_CAD2020</f>
        <v>708.35223228443567</v>
      </c>
    </row>
    <row r="107" spans="18:30" x14ac:dyDescent="0.25">
      <c r="R107" t="s">
        <v>2928</v>
      </c>
      <c r="S107" s="305">
        <v>263.74</v>
      </c>
      <c r="T107" s="305">
        <v>263.74</v>
      </c>
      <c r="U107" s="305">
        <v>263.74</v>
      </c>
      <c r="V107" s="305">
        <v>263.74</v>
      </c>
      <c r="W107" s="305">
        <v>263.74</v>
      </c>
      <c r="X107" s="305">
        <v>263.74</v>
      </c>
      <c r="Y107" s="305">
        <v>263.74</v>
      </c>
      <c r="AA107" t="s">
        <v>4684</v>
      </c>
      <c r="AB107" s="330">
        <f t="shared" ref="AB107:AD108" si="25">AB104/H2_HHV_by_LHV * USD2023_to_CAD2020</f>
        <v>699.47738640755233</v>
      </c>
      <c r="AC107" s="330">
        <f t="shared" si="25"/>
        <v>699.47738640755233</v>
      </c>
      <c r="AD107" s="330">
        <f t="shared" si="25"/>
        <v>699.47738640755233</v>
      </c>
    </row>
    <row r="108" spans="18:30" x14ac:dyDescent="0.25">
      <c r="R108" s="61" t="s">
        <v>2924</v>
      </c>
      <c r="AA108" t="s">
        <v>4699</v>
      </c>
      <c r="AB108" s="330">
        <f t="shared" si="25"/>
        <v>1379.524845414895</v>
      </c>
      <c r="AC108" s="330">
        <f t="shared" si="25"/>
        <v>1379.524845414895</v>
      </c>
      <c r="AD108" s="330">
        <f t="shared" si="25"/>
        <v>1379.524845414895</v>
      </c>
    </row>
    <row r="110" spans="18:30" ht="15.75" x14ac:dyDescent="0.25">
      <c r="R110" s="159" t="s">
        <v>2914</v>
      </c>
      <c r="AA110" s="159" t="s">
        <v>4628</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4638</v>
      </c>
    </row>
    <row r="112" spans="18:30" ht="15.75" thickTop="1" x14ac:dyDescent="0.25">
      <c r="R112" t="s">
        <v>2908</v>
      </c>
      <c r="S112" s="305">
        <v>4.55</v>
      </c>
      <c r="T112" s="305">
        <v>4.55</v>
      </c>
      <c r="U112" s="305">
        <v>4.55</v>
      </c>
      <c r="V112" s="305">
        <v>4.55</v>
      </c>
      <c r="W112" s="305">
        <v>4.55</v>
      </c>
      <c r="X112" s="305">
        <v>4.55</v>
      </c>
      <c r="Y112" s="305">
        <v>4.55</v>
      </c>
      <c r="AA112" t="s">
        <v>4631</v>
      </c>
      <c r="AB112" s="84">
        <v>0.03</v>
      </c>
      <c r="AC112" s="84">
        <v>0.03</v>
      </c>
      <c r="AD112" s="84">
        <v>0.03</v>
      </c>
    </row>
    <row r="113" spans="18:30" x14ac:dyDescent="0.25">
      <c r="R113" t="s">
        <v>2906</v>
      </c>
      <c r="S113" s="305">
        <v>0.67</v>
      </c>
      <c r="T113" s="305">
        <v>0.56999999999999995</v>
      </c>
      <c r="U113" s="305">
        <v>0.48</v>
      </c>
      <c r="V113" s="305">
        <v>0.43</v>
      </c>
      <c r="W113" s="305">
        <v>0.38</v>
      </c>
      <c r="X113" s="305">
        <v>0.34</v>
      </c>
      <c r="Y113" s="305">
        <v>0.28999999999999998</v>
      </c>
      <c r="AA113" t="s">
        <v>4632</v>
      </c>
      <c r="AB113" s="84">
        <v>0.05</v>
      </c>
      <c r="AC113" s="84">
        <v>0.05</v>
      </c>
      <c r="AD113" s="84">
        <v>0.05</v>
      </c>
    </row>
    <row r="114" spans="18:30" x14ac:dyDescent="0.25">
      <c r="R114" t="s">
        <v>2907</v>
      </c>
      <c r="S114" s="305">
        <v>1.36</v>
      </c>
      <c r="T114" s="305">
        <v>1.36</v>
      </c>
      <c r="U114" s="305">
        <v>1.36</v>
      </c>
      <c r="V114" s="305">
        <v>1.36</v>
      </c>
      <c r="W114" s="305">
        <v>1.36</v>
      </c>
      <c r="X114" s="305">
        <v>1.36</v>
      </c>
      <c r="Y114" s="305">
        <v>1.36</v>
      </c>
      <c r="AA114" t="s">
        <v>4733</v>
      </c>
      <c r="AB114" s="84">
        <v>0.04</v>
      </c>
      <c r="AC114" s="84">
        <v>0.04</v>
      </c>
      <c r="AD114" s="84">
        <v>0.04</v>
      </c>
    </row>
    <row r="115" spans="18:30" x14ac:dyDescent="0.25">
      <c r="R115" s="61" t="s">
        <v>2924</v>
      </c>
      <c r="S115" s="305"/>
      <c r="T115" s="305"/>
      <c r="U115" s="305"/>
      <c r="V115" s="305"/>
      <c r="W115" s="305"/>
      <c r="X115" s="305"/>
      <c r="Y115" s="305"/>
      <c r="AA115" t="s">
        <v>4629</v>
      </c>
      <c r="AB115" s="330">
        <f t="shared" ref="AB115:AD117" si="26">AB106*AB112</f>
        <v>95.383279964666229</v>
      </c>
      <c r="AC115" s="330">
        <f t="shared" si="26"/>
        <v>40.54941370478565</v>
      </c>
      <c r="AD115" s="330">
        <f t="shared" si="26"/>
        <v>21.250566968533068</v>
      </c>
    </row>
    <row r="116" spans="18:30" x14ac:dyDescent="0.25">
      <c r="AA116" t="s">
        <v>4633</v>
      </c>
      <c r="AB116" s="330">
        <f t="shared" si="26"/>
        <v>34.973869320377617</v>
      </c>
      <c r="AC116" s="330">
        <f t="shared" si="26"/>
        <v>34.973869320377617</v>
      </c>
      <c r="AD116" s="330">
        <f t="shared" si="26"/>
        <v>34.973869320377617</v>
      </c>
    </row>
    <row r="117" spans="18:30" ht="15.75" x14ac:dyDescent="0.25">
      <c r="R117" s="159" t="s">
        <v>2925</v>
      </c>
      <c r="AA117" t="s">
        <v>4734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4639</v>
      </c>
    </row>
    <row r="119" spans="18:30" ht="15.75" thickTop="1" x14ac:dyDescent="0.25">
      <c r="R119" t="s">
        <v>2926</v>
      </c>
      <c r="S119" s="305">
        <v>4.17</v>
      </c>
      <c r="T119" s="305">
        <v>4.17</v>
      </c>
      <c r="U119" s="305">
        <v>4.17</v>
      </c>
      <c r="V119" s="305">
        <v>4.17</v>
      </c>
      <c r="W119" s="305">
        <v>4.17</v>
      </c>
      <c r="X119" s="305">
        <v>4.17</v>
      </c>
      <c r="Y119" s="305">
        <v>4.17</v>
      </c>
    </row>
    <row r="120" spans="18:30" x14ac:dyDescent="0.25">
      <c r="R120" s="61" t="s">
        <v>2927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2322</v>
      </c>
      <c r="B1" s="53" t="s">
        <v>558</v>
      </c>
      <c r="C1" s="109" t="s">
        <v>559</v>
      </c>
      <c r="D1" s="109" t="s">
        <v>561</v>
      </c>
      <c r="E1" s="1037" t="s">
        <v>560</v>
      </c>
      <c r="F1" s="1038"/>
      <c r="G1" s="1038"/>
      <c r="H1" s="1038"/>
      <c r="I1" s="1038"/>
      <c r="J1" s="1038"/>
      <c r="K1" s="1038"/>
      <c r="L1" s="1039"/>
    </row>
    <row r="2" spans="1:38" ht="18.75" x14ac:dyDescent="0.3">
      <c r="A2" s="1176" t="s">
        <v>569</v>
      </c>
      <c r="B2" s="1176"/>
      <c r="C2" s="1176"/>
      <c r="D2" s="1176"/>
      <c r="E2" s="1176"/>
      <c r="F2" s="1176"/>
      <c r="G2" s="1176"/>
      <c r="H2" s="1176"/>
      <c r="I2" s="1176"/>
      <c r="J2" s="1176"/>
      <c r="K2" s="1176"/>
      <c r="L2" s="1176"/>
      <c r="N2" s="1176" t="s">
        <v>541</v>
      </c>
      <c r="O2" s="1177"/>
      <c r="P2" s="1177"/>
      <c r="Q2" s="1177"/>
      <c r="R2" s="1176"/>
      <c r="S2" s="1176"/>
      <c r="T2" s="1176"/>
      <c r="U2" s="1176"/>
      <c r="V2" s="1176"/>
      <c r="W2" s="1176"/>
      <c r="X2" s="1176"/>
      <c r="Y2" s="1176"/>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4643</v>
      </c>
      <c r="C1" s="1086" t="s">
        <v>4674</v>
      </c>
      <c r="D1" s="1086"/>
      <c r="E1" s="1086"/>
      <c r="F1" s="1086"/>
      <c r="G1" s="1086"/>
      <c r="H1" s="1086"/>
      <c r="I1" s="1086"/>
      <c r="J1" s="1086"/>
      <c r="K1" s="1086"/>
      <c r="AC1" s="285" t="s">
        <v>4701</v>
      </c>
    </row>
    <row r="2" spans="1:66" x14ac:dyDescent="0.25">
      <c r="A2" s="1038" t="s">
        <v>4673</v>
      </c>
      <c r="B2" s="1038"/>
      <c r="C2" s="1038"/>
      <c r="D2" s="1038"/>
      <c r="E2" s="1038"/>
      <c r="F2" s="1038"/>
      <c r="G2" s="1038"/>
      <c r="H2" s="1038"/>
      <c r="I2" s="1038"/>
      <c r="J2" s="1038"/>
      <c r="K2" s="1038"/>
      <c r="M2" s="1117" t="s">
        <v>4686</v>
      </c>
      <c r="N2" s="1117"/>
      <c r="O2" s="1117"/>
      <c r="P2" s="1117"/>
      <c r="Q2" s="1117"/>
      <c r="R2" s="1117"/>
      <c r="S2" s="1117"/>
      <c r="U2" s="1117" t="s">
        <v>4685</v>
      </c>
      <c r="V2" s="1117"/>
      <c r="W2" s="1117"/>
      <c r="X2" s="1117"/>
      <c r="Y2" s="1117"/>
      <c r="Z2" s="1117"/>
      <c r="AA2" s="1117"/>
      <c r="AC2" s="1038" t="s">
        <v>4728</v>
      </c>
      <c r="AD2" s="1038"/>
      <c r="AE2" s="1038"/>
      <c r="AF2" s="1038"/>
      <c r="AG2" s="1038"/>
      <c r="AH2" s="1038"/>
      <c r="AI2" s="1038"/>
      <c r="AJ2" s="1038"/>
      <c r="AK2" s="1038"/>
      <c r="AL2" s="1038"/>
      <c r="AM2" s="1038"/>
      <c r="AN2" s="1038"/>
      <c r="AO2" s="1038"/>
      <c r="AP2" s="1038"/>
      <c r="AQ2" s="1038"/>
      <c r="AR2" s="1038"/>
      <c r="AS2" s="1038"/>
      <c r="AT2" s="1038"/>
      <c r="AU2" s="1038"/>
      <c r="AV2" s="1038"/>
      <c r="AW2" s="1038"/>
      <c r="AX2" s="1038"/>
      <c r="AY2" s="1038"/>
      <c r="AZ2" s="1038"/>
      <c r="BA2" s="1038"/>
      <c r="BB2" s="1038"/>
      <c r="BC2" s="1038"/>
      <c r="BD2" s="1038"/>
      <c r="BE2" s="1038"/>
      <c r="BF2" s="1038"/>
      <c r="BG2" s="1038"/>
      <c r="BH2" s="1038"/>
      <c r="BI2" s="1038"/>
      <c r="BJ2" s="1038"/>
      <c r="BK2" s="1038"/>
      <c r="BL2" s="1038"/>
      <c r="BM2" s="1038"/>
      <c r="BN2" s="1038"/>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79" t="s">
        <v>4702</v>
      </c>
      <c r="AG3" s="1178"/>
      <c r="AH3" s="1178"/>
      <c r="AI3" s="1178"/>
      <c r="AJ3" s="1178"/>
      <c r="AK3" s="1178"/>
      <c r="AL3" s="1180"/>
      <c r="AM3" s="1179" t="s">
        <v>4703</v>
      </c>
      <c r="AN3" s="1178"/>
      <c r="AO3" s="1178"/>
      <c r="AP3" s="1178"/>
      <c r="AQ3" s="1178"/>
      <c r="AR3" s="1178"/>
      <c r="AS3" s="1180"/>
      <c r="AT3" s="1179" t="s">
        <v>4704</v>
      </c>
      <c r="AU3" s="1178"/>
      <c r="AV3" s="1178"/>
      <c r="AW3" s="1178"/>
      <c r="AX3" s="1178"/>
      <c r="AY3" s="1178"/>
      <c r="AZ3" s="1180"/>
      <c r="BA3" s="1179" t="s">
        <v>4705</v>
      </c>
      <c r="BB3" s="1178"/>
      <c r="BC3" s="1178"/>
      <c r="BD3" s="1178"/>
      <c r="BE3" s="1178"/>
      <c r="BF3" s="1178"/>
      <c r="BG3" s="1180"/>
      <c r="BH3" s="1178" t="s">
        <v>4705</v>
      </c>
      <c r="BI3" s="1178"/>
      <c r="BJ3" s="1178"/>
      <c r="BK3" s="1178"/>
      <c r="BL3" s="1178"/>
      <c r="BM3" s="1178"/>
      <c r="BN3" s="1178"/>
    </row>
    <row r="4" spans="1:66" ht="15.75" thickTop="1" x14ac:dyDescent="0.25">
      <c r="A4" t="s">
        <v>4644</v>
      </c>
      <c r="B4" t="s">
        <v>4645</v>
      </c>
      <c r="C4" t="s">
        <v>4646</v>
      </c>
      <c r="D4" t="s">
        <v>4647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4706</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4648</v>
      </c>
      <c r="C5" t="s">
        <v>4646</v>
      </c>
      <c r="D5" t="s">
        <v>4647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4707</v>
      </c>
      <c r="AD5" t="s">
        <v>4708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4649</v>
      </c>
      <c r="C6" t="s">
        <v>4646</v>
      </c>
      <c r="D6" t="s">
        <v>4650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4709</v>
      </c>
      <c r="AD6" t="s">
        <v>4710</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4651</v>
      </c>
      <c r="C7" t="s">
        <v>4646</v>
      </c>
      <c r="D7" t="s">
        <v>4650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4711</v>
      </c>
      <c r="AD7" t="s">
        <v>4710</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4652</v>
      </c>
      <c r="C8" t="s">
        <v>4646</v>
      </c>
      <c r="D8" t="s">
        <v>4650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44" t="s">
        <v>4712</v>
      </c>
      <c r="AD8" s="1144" t="s">
        <v>4713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4653</v>
      </c>
      <c r="C9" t="s">
        <v>4646</v>
      </c>
      <c r="D9" t="s">
        <v>4654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44"/>
      <c r="AD9" s="1144"/>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4655</v>
      </c>
      <c r="C10" t="s">
        <v>4646</v>
      </c>
      <c r="D10" t="s">
        <v>4654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44"/>
      <c r="AD10" s="1144"/>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4656</v>
      </c>
      <c r="C11" t="s">
        <v>4646</v>
      </c>
      <c r="D11" t="s">
        <v>4654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44" t="s">
        <v>4714</v>
      </c>
      <c r="AD11" s="1144" t="s">
        <v>4715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4657</v>
      </c>
      <c r="B12" t="s">
        <v>4658</v>
      </c>
      <c r="C12" t="s">
        <v>4659</v>
      </c>
      <c r="D12" t="s">
        <v>4660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44"/>
      <c r="AD12" s="1144"/>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4661</v>
      </c>
      <c r="C13" t="s">
        <v>4646</v>
      </c>
      <c r="D13" t="s">
        <v>4660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44"/>
      <c r="AD13" s="1144"/>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4662</v>
      </c>
      <c r="C14" t="s">
        <v>4646</v>
      </c>
      <c r="D14" t="s">
        <v>4660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4716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4663</v>
      </c>
      <c r="C15" t="s">
        <v>4646</v>
      </c>
      <c r="D15" t="s">
        <v>4664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44" t="s">
        <v>4673</v>
      </c>
      <c r="AD15" s="1144" t="s">
        <v>4717</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4665</v>
      </c>
      <c r="B16" t="s">
        <v>4666</v>
      </c>
      <c r="C16" t="s">
        <v>4646</v>
      </c>
      <c r="D16" t="s">
        <v>4667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44"/>
      <c r="AD16" s="1144"/>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4668</v>
      </c>
      <c r="C17" t="s">
        <v>4646</v>
      </c>
      <c r="D17" t="s">
        <v>4660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44"/>
      <c r="AD17" s="1144"/>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4669</v>
      </c>
      <c r="C18" t="s">
        <v>4646</v>
      </c>
      <c r="D18" t="s">
        <v>4647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4718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4670</v>
      </c>
      <c r="C19" t="s">
        <v>4646</v>
      </c>
      <c r="D19" t="s">
        <v>4647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44" t="s">
        <v>4719</v>
      </c>
      <c r="AD19" t="s">
        <v>4710</v>
      </c>
      <c r="AE19" t="s">
        <v>4720</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4671</v>
      </c>
      <c r="C20" t="s">
        <v>4646</v>
      </c>
      <c r="D20" t="s">
        <v>4647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44"/>
      <c r="AD20" t="s">
        <v>4710</v>
      </c>
      <c r="AE20" t="s">
        <v>4721</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4672</v>
      </c>
      <c r="C21" t="s">
        <v>4646</v>
      </c>
      <c r="D21" t="s">
        <v>4647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44"/>
      <c r="AD21" t="s">
        <v>4710</v>
      </c>
      <c r="AE21" t="s">
        <v>4722</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44" t="s">
        <v>4723</v>
      </c>
      <c r="AD22" s="1144" t="s">
        <v>4724</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38" t="s">
        <v>4679</v>
      </c>
      <c r="B23" s="1038"/>
      <c r="C23" s="1038"/>
      <c r="D23" s="1038"/>
      <c r="E23" s="1038"/>
      <c r="F23" s="1038"/>
      <c r="G23" s="1038"/>
      <c r="H23" s="1038"/>
      <c r="I23" s="1038"/>
      <c r="J23" s="1038"/>
      <c r="K23" s="1038"/>
      <c r="M23" s="1117" t="s">
        <v>4687</v>
      </c>
      <c r="N23" s="1117"/>
      <c r="O23" s="1117"/>
      <c r="P23" s="1117"/>
      <c r="Q23" s="1117"/>
      <c r="R23" s="1117"/>
      <c r="S23" s="1117"/>
      <c r="U23" s="1117" t="s">
        <v>4744</v>
      </c>
      <c r="V23" s="1117"/>
      <c r="W23" s="1117"/>
      <c r="X23" s="1117"/>
      <c r="Y23" s="1117"/>
      <c r="Z23" s="1117"/>
      <c r="AA23" s="1117"/>
      <c r="AC23" s="1144"/>
      <c r="AD23" s="1144"/>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44"/>
      <c r="AD24" s="1144"/>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4644</v>
      </c>
      <c r="B25" t="s">
        <v>4645</v>
      </c>
      <c r="C25" t="s">
        <v>4646</v>
      </c>
      <c r="D25" t="s">
        <v>4647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44" t="s">
        <v>4725</v>
      </c>
      <c r="AD25" s="1144" t="s">
        <v>4726</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4648</v>
      </c>
      <c r="C26" t="s">
        <v>4646</v>
      </c>
      <c r="D26" t="s">
        <v>4647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44"/>
      <c r="AD26" s="1144"/>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4649</v>
      </c>
      <c r="C27" t="s">
        <v>4646</v>
      </c>
      <c r="D27" t="s">
        <v>4650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44"/>
      <c r="AD27" s="1144"/>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4651</v>
      </c>
      <c r="C28" t="s">
        <v>4646</v>
      </c>
      <c r="D28" t="s">
        <v>4675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4727</v>
      </c>
      <c r="AD28" s="202" t="s">
        <v>4710</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4652</v>
      </c>
      <c r="C29" t="s">
        <v>4646</v>
      </c>
      <c r="D29" t="s">
        <v>4650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4729</v>
      </c>
    </row>
    <row r="30" spans="1:66" x14ac:dyDescent="0.25">
      <c r="B30" t="s">
        <v>4653</v>
      </c>
      <c r="C30" t="s">
        <v>4646</v>
      </c>
      <c r="D30" t="s">
        <v>4654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4655</v>
      </c>
      <c r="C31" t="s">
        <v>4646</v>
      </c>
      <c r="D31" t="s">
        <v>4654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17" t="s">
        <v>4685</v>
      </c>
      <c r="AG31" s="1117"/>
      <c r="AH31" s="1117"/>
      <c r="AI31" s="1117"/>
      <c r="AJ31" s="1117"/>
      <c r="AK31" s="1117"/>
      <c r="AL31" s="1117"/>
      <c r="AM31" s="1117" t="s">
        <v>4685</v>
      </c>
      <c r="AN31" s="1117"/>
      <c r="AO31" s="1117"/>
      <c r="AP31" s="1117"/>
      <c r="AQ31" s="1117"/>
      <c r="AR31" s="1117"/>
      <c r="AS31" s="1117"/>
      <c r="AT31" s="1117" t="s">
        <v>4685</v>
      </c>
      <c r="AU31" s="1117"/>
      <c r="AV31" s="1117"/>
      <c r="AW31" s="1117"/>
      <c r="AX31" s="1117"/>
      <c r="AY31" s="1117"/>
      <c r="AZ31" s="1117"/>
      <c r="BA31" s="1117" t="s">
        <v>4685</v>
      </c>
      <c r="BB31" s="1117"/>
      <c r="BC31" s="1117"/>
      <c r="BD31" s="1117"/>
      <c r="BE31" s="1117"/>
      <c r="BF31" s="1117"/>
      <c r="BG31" s="1117"/>
      <c r="BH31" s="1117" t="s">
        <v>4685</v>
      </c>
      <c r="BI31" s="1117"/>
      <c r="BJ31" s="1117"/>
      <c r="BK31" s="1117"/>
      <c r="BL31" s="1117"/>
      <c r="BM31" s="1117"/>
      <c r="BN31" s="1117"/>
    </row>
    <row r="32" spans="1:66" ht="15.75" thickBot="1" x14ac:dyDescent="0.3">
      <c r="B32" t="s">
        <v>4656</v>
      </c>
      <c r="C32" t="s">
        <v>4646</v>
      </c>
      <c r="D32" t="s">
        <v>4654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4731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4657</v>
      </c>
      <c r="B33" t="s">
        <v>4658</v>
      </c>
      <c r="C33" t="s">
        <v>4659</v>
      </c>
      <c r="D33" t="s">
        <v>4660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4661</v>
      </c>
      <c r="C34" t="s">
        <v>4646</v>
      </c>
      <c r="D34" t="s">
        <v>4660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4662</v>
      </c>
      <c r="C35" t="s">
        <v>4646</v>
      </c>
      <c r="D35" t="s">
        <v>4660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4663</v>
      </c>
      <c r="C36" t="s">
        <v>4646</v>
      </c>
      <c r="D36" t="s">
        <v>4664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4676</v>
      </c>
      <c r="C37" t="s">
        <v>4677</v>
      </c>
      <c r="D37" t="s">
        <v>4677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17" t="s">
        <v>4732</v>
      </c>
      <c r="AG37" s="1117"/>
      <c r="AH37" s="1117"/>
      <c r="AI37" s="1117"/>
      <c r="AJ37" s="1117"/>
      <c r="AK37" s="1117"/>
      <c r="AL37" s="1117"/>
      <c r="AM37" s="1117" t="s">
        <v>4732</v>
      </c>
      <c r="AN37" s="1117"/>
      <c r="AO37" s="1117"/>
      <c r="AP37" s="1117"/>
      <c r="AQ37" s="1117"/>
      <c r="AR37" s="1117"/>
      <c r="AS37" s="1117"/>
      <c r="AT37" s="1117" t="s">
        <v>4732</v>
      </c>
      <c r="AU37" s="1117"/>
      <c r="AV37" s="1117"/>
      <c r="AW37" s="1117"/>
      <c r="AX37" s="1117"/>
      <c r="AY37" s="1117"/>
      <c r="AZ37" s="1117"/>
      <c r="BA37" s="1117" t="s">
        <v>4732</v>
      </c>
      <c r="BB37" s="1117"/>
      <c r="BC37" s="1117"/>
      <c r="BD37" s="1117"/>
      <c r="BE37" s="1117"/>
      <c r="BF37" s="1117"/>
      <c r="BG37" s="1117"/>
      <c r="BH37" s="1117" t="s">
        <v>4732</v>
      </c>
      <c r="BI37" s="1117"/>
      <c r="BJ37" s="1117"/>
      <c r="BK37" s="1117"/>
      <c r="BL37" s="1117"/>
      <c r="BM37" s="1117"/>
      <c r="BN37" s="1117"/>
    </row>
    <row r="38" spans="1:66" ht="15.75" thickBot="1" x14ac:dyDescent="0.3">
      <c r="A38" t="s">
        <v>4665</v>
      </c>
      <c r="B38" t="s">
        <v>4666</v>
      </c>
      <c r="C38" t="s">
        <v>4646</v>
      </c>
      <c r="D38" t="s">
        <v>4667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4731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4668</v>
      </c>
      <c r="C39" t="s">
        <v>4646</v>
      </c>
      <c r="D39" t="s">
        <v>4660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4669</v>
      </c>
      <c r="C40" t="s">
        <v>4646</v>
      </c>
      <c r="D40" t="s">
        <v>4678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4670</v>
      </c>
      <c r="C41" t="s">
        <v>4646</v>
      </c>
      <c r="D41" t="s">
        <v>4647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4671</v>
      </c>
      <c r="C42" t="s">
        <v>4646</v>
      </c>
      <c r="D42" t="s">
        <v>4647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4672</v>
      </c>
      <c r="C43" t="s">
        <v>4646</v>
      </c>
      <c r="D43" t="s">
        <v>4647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38" t="s">
        <v>4683</v>
      </c>
      <c r="B45" s="1038"/>
      <c r="C45" s="1038"/>
      <c r="D45" s="1038"/>
      <c r="E45" s="1038"/>
      <c r="F45" s="1038"/>
      <c r="G45" s="1038"/>
      <c r="H45" s="1038"/>
      <c r="I45" s="1038"/>
      <c r="J45" s="1038"/>
      <c r="K45" s="1038"/>
      <c r="M45" s="1117" t="s">
        <v>4688</v>
      </c>
      <c r="N45" s="1117"/>
      <c r="O45" s="1117"/>
      <c r="P45" s="1117"/>
      <c r="Q45" s="1117"/>
      <c r="R45" s="1117"/>
      <c r="S45" s="1117"/>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4644</v>
      </c>
      <c r="B47" t="s">
        <v>4645</v>
      </c>
      <c r="C47" t="s">
        <v>4680</v>
      </c>
      <c r="D47" t="s">
        <v>4678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4648</v>
      </c>
      <c r="C48" t="s">
        <v>4680</v>
      </c>
      <c r="D48" t="s">
        <v>4678</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4649</v>
      </c>
      <c r="C49" t="s">
        <v>4680</v>
      </c>
      <c r="D49" t="s">
        <v>4681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4651</v>
      </c>
      <c r="C50" t="s">
        <v>4680</v>
      </c>
      <c r="D50" t="s">
        <v>4682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4652</v>
      </c>
      <c r="C51" t="s">
        <v>4680</v>
      </c>
      <c r="D51" t="s">
        <v>4681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4653</v>
      </c>
      <c r="C52" t="s">
        <v>4680</v>
      </c>
      <c r="D52" t="s">
        <v>4654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4655</v>
      </c>
      <c r="C53" t="s">
        <v>4680</v>
      </c>
      <c r="D53" t="s">
        <v>4654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4656</v>
      </c>
      <c r="C54" t="s">
        <v>4680</v>
      </c>
      <c r="D54" t="s">
        <v>4654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4657</v>
      </c>
      <c r="B55" t="s">
        <v>4658</v>
      </c>
      <c r="C55" t="s">
        <v>4677</v>
      </c>
      <c r="D55" t="s">
        <v>4660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4661</v>
      </c>
      <c r="C56" t="s">
        <v>4680</v>
      </c>
      <c r="D56" t="s">
        <v>4660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4662</v>
      </c>
      <c r="C57" t="s">
        <v>4680</v>
      </c>
      <c r="D57" t="s">
        <v>4660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4663</v>
      </c>
      <c r="C58" t="s">
        <v>4680</v>
      </c>
      <c r="D58" t="s">
        <v>4664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4676</v>
      </c>
      <c r="C59" t="s">
        <v>4677</v>
      </c>
      <c r="D59" t="s">
        <v>4677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4665</v>
      </c>
      <c r="B60" t="s">
        <v>4666</v>
      </c>
      <c r="C60" t="s">
        <v>4680</v>
      </c>
      <c r="D60" t="s">
        <v>4667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4668</v>
      </c>
      <c r="C61" t="s">
        <v>4680</v>
      </c>
      <c r="D61" t="s">
        <v>4667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4669</v>
      </c>
      <c r="C62" t="s">
        <v>4680</v>
      </c>
      <c r="D62" t="s">
        <v>4678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4670</v>
      </c>
      <c r="C63" t="s">
        <v>4680</v>
      </c>
      <c r="D63" t="s">
        <v>4678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4671</v>
      </c>
      <c r="C64" t="s">
        <v>4680</v>
      </c>
      <c r="D64" t="s">
        <v>4678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4672</v>
      </c>
      <c r="C65" t="s">
        <v>4680</v>
      </c>
      <c r="D65" t="s">
        <v>4678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58" t="s">
        <v>2304</v>
      </c>
      <c r="B1" s="1058"/>
      <c r="C1" s="1058"/>
      <c r="D1" s="1058"/>
      <c r="F1" s="1181" t="s">
        <v>877</v>
      </c>
      <c r="G1" s="1182"/>
      <c r="I1" s="285" t="s">
        <v>2990</v>
      </c>
      <c r="M1" s="285" t="s">
        <v>2991</v>
      </c>
      <c r="Q1" s="790" t="s">
        <v>2992</v>
      </c>
      <c r="R1" s="792">
        <v>2</v>
      </c>
      <c r="T1" s="76">
        <v>1</v>
      </c>
    </row>
    <row r="2" spans="1:20" ht="16.5" thickTop="1" thickBot="1" x14ac:dyDescent="0.3">
      <c r="A2" s="88" t="s">
        <v>225</v>
      </c>
      <c r="B2" s="88" t="s">
        <v>237</v>
      </c>
      <c r="C2" s="433" t="s">
        <v>238</v>
      </c>
      <c r="D2" s="88" t="s">
        <v>998</v>
      </c>
      <c r="F2" s="64" t="s">
        <v>2315</v>
      </c>
      <c r="G2" s="574">
        <f>G50/1000</f>
        <v>1.05505585E-6</v>
      </c>
      <c r="I2" s="88" t="s">
        <v>1091</v>
      </c>
      <c r="J2" s="88" t="s">
        <v>1093</v>
      </c>
      <c r="K2" s="88" t="s">
        <v>1092</v>
      </c>
      <c r="M2" s="88" t="s">
        <v>1091</v>
      </c>
      <c r="N2" s="88" t="s">
        <v>2989</v>
      </c>
      <c r="O2" s="88" t="s">
        <v>1092</v>
      </c>
      <c r="Q2" t="s">
        <v>2993</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2309</v>
      </c>
      <c r="R5" s="378" t="s">
        <v>2310</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85" t="s">
        <v>461</v>
      </c>
      <c r="G7" s="1087"/>
      <c r="I7">
        <v>2008</v>
      </c>
      <c r="J7">
        <v>114.1</v>
      </c>
      <c r="K7" s="29">
        <f t="shared" si="1"/>
        <v>2.3318385650224163E-2</v>
      </c>
      <c r="M7">
        <v>2008</v>
      </c>
      <c r="N7">
        <v>89.7</v>
      </c>
      <c r="O7" s="29">
        <f t="shared" si="2"/>
        <v>4.0603248259860787E-2</v>
      </c>
      <c r="P7" s="71"/>
      <c r="Q7" s="64" t="s">
        <v>4640</v>
      </c>
      <c r="R7" s="573">
        <f>1.2986 * IF($R$1=1, (1+K16)*(1+K17)*(1+K18), (1+O16)*(1+O17)*(1+O18))</f>
        <v>1.3745181538461539</v>
      </c>
    </row>
    <row r="8" spans="1:20" x14ac:dyDescent="0.25">
      <c r="A8" t="s">
        <v>231</v>
      </c>
      <c r="B8" s="65">
        <v>122887</v>
      </c>
      <c r="C8" s="201">
        <v>130817</v>
      </c>
      <c r="D8" s="60">
        <f t="shared" si="0"/>
        <v>1.0645308291357101</v>
      </c>
      <c r="F8" s="1085"/>
      <c r="G8" s="1087"/>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85"/>
      <c r="G9" s="1087"/>
      <c r="I9">
        <v>2010</v>
      </c>
      <c r="J9">
        <v>116.5</v>
      </c>
      <c r="K9" s="29">
        <f t="shared" si="1"/>
        <v>1.8356643356643308E-2</v>
      </c>
      <c r="M9">
        <v>2010</v>
      </c>
      <c r="N9">
        <v>90.1</v>
      </c>
      <c r="O9" s="29">
        <f t="shared" si="2"/>
        <v>2.853881278538813E-2</v>
      </c>
      <c r="P9" s="71"/>
      <c r="Q9" s="64" t="s">
        <v>2995</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83" t="s">
        <v>2974</v>
      </c>
      <c r="G11" s="1184"/>
      <c r="I11">
        <v>2012</v>
      </c>
      <c r="J11">
        <v>121.7</v>
      </c>
      <c r="K11" s="29">
        <f t="shared" si="3"/>
        <v>1.5012510425354437E-2</v>
      </c>
      <c r="M11">
        <v>2012</v>
      </c>
      <c r="N11">
        <v>94.1</v>
      </c>
      <c r="O11" s="29">
        <f t="shared" si="2"/>
        <v>1.1827956989247251E-2</v>
      </c>
      <c r="P11" s="71"/>
      <c r="Q11" s="64" t="s">
        <v>2996</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2838</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2994</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2858</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2862</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2851</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4730</v>
      </c>
      <c r="R17" s="296">
        <v>1.7199</v>
      </c>
    </row>
    <row r="18" spans="1:18" ht="15.75" thickTop="1" x14ac:dyDescent="0.25">
      <c r="A18" t="s">
        <v>511</v>
      </c>
      <c r="B18" t="s">
        <v>204</v>
      </c>
      <c r="C18" s="60">
        <v>1</v>
      </c>
      <c r="D18" s="60">
        <v>1.1498803290838104</v>
      </c>
      <c r="F18" s="64" t="s">
        <v>2832</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2833</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2834</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2835</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2311</v>
      </c>
      <c r="G23" s="380">
        <f>42.2106699476279 * 0.991173745730649</f>
        <v>41.838107841790482</v>
      </c>
    </row>
    <row r="24" spans="1:18" x14ac:dyDescent="0.25">
      <c r="A24" t="s">
        <v>213</v>
      </c>
      <c r="B24" t="s">
        <v>214</v>
      </c>
      <c r="C24" s="60">
        <v>0.87940030111992673</v>
      </c>
      <c r="D24" s="60">
        <v>1.0112051076481834</v>
      </c>
      <c r="F24" s="64" t="s">
        <v>2312</v>
      </c>
      <c r="G24" s="380">
        <f>43.838416868984 * 0.913903404412361</f>
        <v>40.064078420612752</v>
      </c>
    </row>
    <row r="25" spans="1:18" x14ac:dyDescent="0.25">
      <c r="A25" t="s">
        <v>215</v>
      </c>
      <c r="B25" t="s">
        <v>216</v>
      </c>
      <c r="C25" s="60">
        <v>0.92066489829303544</v>
      </c>
      <c r="D25" s="60">
        <v>1.0586544562251086</v>
      </c>
      <c r="F25" s="64" t="s">
        <v>2313</v>
      </c>
      <c r="G25" s="66">
        <f>G23/G24</f>
        <v>1.0442798010365566</v>
      </c>
    </row>
    <row r="26" spans="1:18" x14ac:dyDescent="0.25">
      <c r="A26" t="s">
        <v>217</v>
      </c>
      <c r="B26" t="s">
        <v>218</v>
      </c>
      <c r="C26" s="60">
        <v>1.3304203886276409</v>
      </c>
      <c r="D26" s="60">
        <v>1.5298242342949626</v>
      </c>
      <c r="F26" s="64" t="s">
        <v>2314</v>
      </c>
      <c r="G26" s="66">
        <f>45.7668369665298/43.838416868984</f>
        <v>1.0439892732282989</v>
      </c>
    </row>
    <row r="27" spans="1:18" ht="15.75" thickBot="1" x14ac:dyDescent="0.3">
      <c r="A27" t="s">
        <v>219</v>
      </c>
      <c r="B27" t="s">
        <v>220</v>
      </c>
      <c r="C27" s="60">
        <v>1.3175650366480691</v>
      </c>
      <c r="D27" s="60">
        <v>1.5150421179302045</v>
      </c>
      <c r="F27" s="67" t="s">
        <v>4641</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85" t="s">
        <v>2305</v>
      </c>
      <c r="B32" s="1186"/>
      <c r="C32" s="1186"/>
      <c r="D32" s="1186"/>
      <c r="E32" s="1186"/>
      <c r="F32" s="1186"/>
      <c r="G32" s="1186"/>
      <c r="H32" s="1186"/>
      <c r="I32" s="1187"/>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88" t="s">
        <v>2306</v>
      </c>
      <c r="B64" s="1189"/>
      <c r="C64" s="1189"/>
      <c r="D64" s="1189"/>
      <c r="E64" s="1190"/>
      <c r="G64" s="721" t="s">
        <v>2563</v>
      </c>
      <c r="H64" s="41"/>
    </row>
    <row r="65" spans="1:8" ht="16.5" thickTop="1" thickBot="1" x14ac:dyDescent="0.3">
      <c r="A65" s="594" t="s">
        <v>2301</v>
      </c>
      <c r="B65" s="88" t="s">
        <v>238</v>
      </c>
      <c r="C65" s="88" t="s">
        <v>2302</v>
      </c>
      <c r="D65" s="88" t="s">
        <v>2303</v>
      </c>
      <c r="E65" s="110" t="s">
        <v>2227</v>
      </c>
      <c r="G65" s="72" t="s">
        <v>2558</v>
      </c>
      <c r="H65" s="291">
        <v>0.85</v>
      </c>
    </row>
    <row r="66" spans="1:8" ht="15.75" thickTop="1" x14ac:dyDescent="0.25">
      <c r="A66" s="72" t="s">
        <v>226</v>
      </c>
      <c r="B66" s="65">
        <v>138350</v>
      </c>
      <c r="C66" s="65">
        <v>3205</v>
      </c>
      <c r="D66" s="114">
        <v>0.85299999999999998</v>
      </c>
      <c r="E66" s="596">
        <v>0.93726057101554028</v>
      </c>
      <c r="G66" s="72" t="s">
        <v>2559</v>
      </c>
      <c r="H66" s="291">
        <v>0.42857142857142855</v>
      </c>
    </row>
    <row r="67" spans="1:8" x14ac:dyDescent="0.25">
      <c r="A67" s="72" t="s">
        <v>2228</v>
      </c>
      <c r="B67" s="65">
        <v>144475.84269846199</v>
      </c>
      <c r="C67" s="65">
        <v>3266</v>
      </c>
      <c r="D67" s="114">
        <v>0.85562068501529054</v>
      </c>
      <c r="E67" s="596">
        <v>0.93500000000000005</v>
      </c>
      <c r="G67" s="72" t="s">
        <v>2560</v>
      </c>
      <c r="H67" s="293">
        <v>0.75</v>
      </c>
    </row>
    <row r="68" spans="1:8" x14ac:dyDescent="0.25">
      <c r="A68" s="72" t="s">
        <v>2229</v>
      </c>
      <c r="B68" s="65">
        <v>162963.53084543315</v>
      </c>
      <c r="C68" s="65">
        <v>3839.6821254480283</v>
      </c>
      <c r="D68" s="114">
        <v>0.83</v>
      </c>
      <c r="E68" s="596">
        <v>0.93500000000000016</v>
      </c>
      <c r="G68" s="72" t="s">
        <v>2561</v>
      </c>
      <c r="H68" s="293">
        <v>0.27272727272727271</v>
      </c>
    </row>
    <row r="69" spans="1:8" x14ac:dyDescent="0.25">
      <c r="A69" s="72" t="s">
        <v>2230</v>
      </c>
      <c r="B69" s="65">
        <v>162963.53084543315</v>
      </c>
      <c r="C69" s="65">
        <v>3839.6821254480283</v>
      </c>
      <c r="D69" s="114">
        <v>0.83</v>
      </c>
      <c r="E69" s="596">
        <v>0.93500000000000016</v>
      </c>
      <c r="G69" s="332" t="s">
        <v>2562</v>
      </c>
      <c r="H69" s="791">
        <v>0.5</v>
      </c>
    </row>
    <row r="70" spans="1:8" x14ac:dyDescent="0.25">
      <c r="A70" s="72" t="s">
        <v>2231</v>
      </c>
      <c r="B70" s="65">
        <v>155287.90268980322</v>
      </c>
      <c r="C70" s="65">
        <v>3500.47748781362</v>
      </c>
      <c r="D70" s="114">
        <v>0.83245885654014951</v>
      </c>
      <c r="E70" s="596">
        <v>0.93500000000000005</v>
      </c>
    </row>
    <row r="71" spans="1:8" x14ac:dyDescent="0.25">
      <c r="A71" s="72" t="s">
        <v>2232</v>
      </c>
      <c r="B71" s="65">
        <v>137378.10365999999</v>
      </c>
      <c r="C71" s="65">
        <v>2709</v>
      </c>
      <c r="D71" s="114">
        <v>0.84059083544303792</v>
      </c>
      <c r="E71" s="596">
        <v>0.93500000000000005</v>
      </c>
    </row>
    <row r="72" spans="1:8" x14ac:dyDescent="0.25">
      <c r="A72" s="72" t="s">
        <v>2233</v>
      </c>
      <c r="B72" s="65">
        <v>134008.52571649614</v>
      </c>
      <c r="C72" s="65">
        <v>3087.2372132564833</v>
      </c>
      <c r="D72" s="114">
        <v>0.85299999999999998</v>
      </c>
      <c r="E72" s="596">
        <v>0.93726057101554028</v>
      </c>
    </row>
    <row r="73" spans="1:8" x14ac:dyDescent="0.25">
      <c r="A73" s="72" t="s">
        <v>2234</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2235</v>
      </c>
      <c r="B76" s="65">
        <v>120438.62000000001</v>
      </c>
      <c r="C76" s="65">
        <v>2835.5620000000004</v>
      </c>
      <c r="D76" s="114">
        <v>0.82778546968819577</v>
      </c>
      <c r="E76" s="596">
        <v>0.931541062160958</v>
      </c>
    </row>
    <row r="77" spans="1:8" x14ac:dyDescent="0.25">
      <c r="A77" s="72" t="s">
        <v>2236</v>
      </c>
      <c r="B77" s="65">
        <v>114387.5</v>
      </c>
      <c r="C77" s="65">
        <v>2861.25</v>
      </c>
      <c r="D77" s="114">
        <v>0.77774999999999994</v>
      </c>
      <c r="E77" s="596">
        <v>0.92798601245765489</v>
      </c>
    </row>
    <row r="78" spans="1:8" x14ac:dyDescent="0.25">
      <c r="A78" s="72" t="s">
        <v>2237</v>
      </c>
      <c r="B78" s="65">
        <v>108416</v>
      </c>
      <c r="C78" s="65">
        <v>2886.6</v>
      </c>
      <c r="D78" s="114">
        <v>0.72659999999999991</v>
      </c>
      <c r="E78" s="596">
        <v>0.92408869539551353</v>
      </c>
    </row>
    <row r="79" spans="1:8" x14ac:dyDescent="0.25">
      <c r="A79" s="72" t="s">
        <v>2238</v>
      </c>
      <c r="B79" s="65">
        <v>137380</v>
      </c>
      <c r="C79" s="65">
        <v>3167</v>
      </c>
      <c r="D79" s="114">
        <v>0.86499999999999999</v>
      </c>
      <c r="E79" s="596">
        <v>0.93499781627602274</v>
      </c>
    </row>
    <row r="80" spans="1:8" x14ac:dyDescent="0.25">
      <c r="A80" s="72" t="s">
        <v>2239</v>
      </c>
      <c r="B80" s="65">
        <v>138490</v>
      </c>
      <c r="C80" s="65">
        <v>3206</v>
      </c>
      <c r="D80" s="114">
        <v>0.871</v>
      </c>
      <c r="E80" s="596"/>
    </row>
    <row r="81" spans="1:5" x14ac:dyDescent="0.25">
      <c r="A81" s="72" t="s">
        <v>2240</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2241</v>
      </c>
      <c r="B83" s="65">
        <v>125080</v>
      </c>
      <c r="C83" s="65">
        <v>2745</v>
      </c>
      <c r="D83" s="114">
        <v>0.85</v>
      </c>
      <c r="E83" s="596">
        <v>0.93476175247841387</v>
      </c>
    </row>
    <row r="84" spans="1:5" x14ac:dyDescent="0.25">
      <c r="A84" s="72" t="s">
        <v>2242</v>
      </c>
      <c r="B84" s="65">
        <v>126586.157141156</v>
      </c>
      <c r="C84" s="65">
        <v>2833.8569764657</v>
      </c>
      <c r="D84" s="114">
        <v>0.85315638757897505</v>
      </c>
      <c r="E84" s="596">
        <v>0.93404711473172097</v>
      </c>
    </row>
    <row r="85" spans="1:5" x14ac:dyDescent="0.25">
      <c r="A85" s="72" t="s">
        <v>2243</v>
      </c>
      <c r="B85" s="65">
        <v>132948.69438683367</v>
      </c>
      <c r="C85" s="65">
        <v>3035.8996219999995</v>
      </c>
      <c r="D85" s="114">
        <v>0.86199999999999999</v>
      </c>
      <c r="E85" s="596">
        <v>0.93500003751584637</v>
      </c>
    </row>
    <row r="86" spans="1:5" x14ac:dyDescent="0.25">
      <c r="A86" s="72" t="s">
        <v>2244</v>
      </c>
      <c r="B86" s="65">
        <v>131594.89429852215</v>
      </c>
      <c r="C86" s="65">
        <v>2998.0455119999997</v>
      </c>
      <c r="D86" s="114">
        <v>0.86</v>
      </c>
      <c r="E86" s="596">
        <v>0.93500003751584626</v>
      </c>
    </row>
    <row r="87" spans="1:5" x14ac:dyDescent="0.25">
      <c r="A87" s="72" t="s">
        <v>2245</v>
      </c>
      <c r="B87" s="65">
        <v>119740</v>
      </c>
      <c r="C87" s="65">
        <v>2651</v>
      </c>
      <c r="D87" s="114">
        <v>0.84199999999999997</v>
      </c>
      <c r="E87" s="596">
        <v>0.93135126106564226</v>
      </c>
    </row>
    <row r="88" spans="1:5" x14ac:dyDescent="0.25">
      <c r="A88" s="72" t="s">
        <v>2246</v>
      </c>
      <c r="B88" s="65">
        <v>150110</v>
      </c>
      <c r="C88" s="65">
        <v>3752</v>
      </c>
      <c r="D88" s="114">
        <v>0.86799999999999999</v>
      </c>
      <c r="E88" s="596">
        <v>0.93499781627602263</v>
      </c>
    </row>
    <row r="89" spans="1:5" x14ac:dyDescent="0.25">
      <c r="A89" s="72" t="s">
        <v>2247</v>
      </c>
      <c r="B89" s="65">
        <v>150110</v>
      </c>
      <c r="C89" s="65">
        <v>3752</v>
      </c>
      <c r="D89" s="114">
        <v>0.86799999999999999</v>
      </c>
      <c r="E89" s="596">
        <v>0.93499781627602263</v>
      </c>
    </row>
    <row r="90" spans="1:5" x14ac:dyDescent="0.25">
      <c r="A90" s="72" t="s">
        <v>2248</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2249</v>
      </c>
      <c r="B92" s="65">
        <v>108458</v>
      </c>
      <c r="C92" s="65">
        <v>3065</v>
      </c>
      <c r="D92" s="114">
        <v>0.64859999999999995</v>
      </c>
      <c r="E92" s="596">
        <v>0.92051300964428628</v>
      </c>
    </row>
    <row r="93" spans="1:5" x14ac:dyDescent="0.25">
      <c r="A93" s="72" t="s">
        <v>2250</v>
      </c>
      <c r="B93" s="65">
        <v>89511</v>
      </c>
      <c r="C93" s="65">
        <v>2964</v>
      </c>
      <c r="D93" s="114">
        <v>0.61980000000000002</v>
      </c>
      <c r="E93" s="596">
        <v>0.92867915675168411</v>
      </c>
    </row>
    <row r="94" spans="1:5" x14ac:dyDescent="0.25">
      <c r="A94" s="72" t="s">
        <v>2251</v>
      </c>
      <c r="B94" s="65">
        <v>124340</v>
      </c>
      <c r="C94" s="65">
        <v>2819</v>
      </c>
      <c r="D94" s="114">
        <v>0.86299999999999999</v>
      </c>
      <c r="E94" s="596">
        <v>0.93364967025896739</v>
      </c>
    </row>
    <row r="95" spans="1:5" x14ac:dyDescent="0.25">
      <c r="A95" s="72" t="s">
        <v>2252</v>
      </c>
      <c r="B95" s="65">
        <v>91410</v>
      </c>
      <c r="C95" s="65">
        <v>1923</v>
      </c>
      <c r="D95" s="114">
        <v>0.82</v>
      </c>
      <c r="E95" s="596">
        <v>0.9293293950333662</v>
      </c>
    </row>
    <row r="96" spans="1:5" x14ac:dyDescent="0.25">
      <c r="A96" s="72" t="s">
        <v>2253</v>
      </c>
      <c r="B96" s="65">
        <v>84820</v>
      </c>
      <c r="C96" s="65">
        <v>1621</v>
      </c>
      <c r="D96" s="114">
        <v>0.75</v>
      </c>
      <c r="E96" s="596">
        <v>0.88092431030417351</v>
      </c>
    </row>
    <row r="97" spans="1:5" x14ac:dyDescent="0.25">
      <c r="A97" s="72" t="s">
        <v>2254</v>
      </c>
      <c r="B97" s="65">
        <v>75610</v>
      </c>
      <c r="C97" s="65">
        <v>2518</v>
      </c>
      <c r="D97" s="114">
        <v>0.52200000000000002</v>
      </c>
      <c r="E97" s="596">
        <v>0.91165189789710355</v>
      </c>
    </row>
    <row r="98" spans="1:5" x14ac:dyDescent="0.25">
      <c r="A98" s="72" t="s">
        <v>2255</v>
      </c>
      <c r="B98" s="65">
        <v>79196.89540113158</v>
      </c>
      <c r="C98" s="65">
        <v>3255</v>
      </c>
      <c r="D98" s="114">
        <v>0.47399999999999998</v>
      </c>
      <c r="E98" s="596">
        <v>0.91165189789710355</v>
      </c>
    </row>
    <row r="99" spans="1:5" x14ac:dyDescent="0.25">
      <c r="A99" s="72" t="s">
        <v>2256</v>
      </c>
      <c r="B99" s="65">
        <v>127960</v>
      </c>
      <c r="C99" s="65">
        <v>3335.2646966100001</v>
      </c>
      <c r="D99" s="114">
        <v>0.77600000000000002</v>
      </c>
      <c r="E99" s="596">
        <v>0.93485464207564861</v>
      </c>
    </row>
    <row r="100" spans="1:5" x14ac:dyDescent="0.25">
      <c r="A100" s="72" t="s">
        <v>2257</v>
      </c>
      <c r="B100" s="65">
        <v>130030</v>
      </c>
      <c r="C100" s="65">
        <v>3017</v>
      </c>
      <c r="D100" s="114">
        <v>0.85299999999999998</v>
      </c>
      <c r="E100" s="596">
        <v>0.95108821041298164</v>
      </c>
    </row>
    <row r="101" spans="1:5" x14ac:dyDescent="0.25">
      <c r="A101" s="72" t="s">
        <v>2258</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2259</v>
      </c>
      <c r="B103" s="65">
        <v>133070.13702382601</v>
      </c>
      <c r="C103" s="65">
        <v>3003.2639480974099</v>
      </c>
      <c r="D103" s="114">
        <v>0.871</v>
      </c>
      <c r="E103" s="596">
        <v>0.92840083590406852</v>
      </c>
    </row>
    <row r="104" spans="1:5" x14ac:dyDescent="0.25">
      <c r="A104" s="72" t="s">
        <v>2260</v>
      </c>
      <c r="B104" s="65">
        <v>124410</v>
      </c>
      <c r="C104" s="65">
        <v>3020.9251842000003</v>
      </c>
      <c r="D104" s="114">
        <v>0.85799999999999998</v>
      </c>
      <c r="E104" s="596">
        <v>1</v>
      </c>
    </row>
    <row r="105" spans="1:5" x14ac:dyDescent="0.25">
      <c r="A105" s="72" t="s">
        <v>2261</v>
      </c>
      <c r="B105" s="65">
        <v>124230</v>
      </c>
      <c r="C105" s="65">
        <v>2830</v>
      </c>
      <c r="D105" s="114">
        <v>0.84</v>
      </c>
      <c r="E105" s="596">
        <v>0.93361506882395562</v>
      </c>
    </row>
    <row r="106" spans="1:5" x14ac:dyDescent="0.25">
      <c r="A106" s="72" t="s">
        <v>2262</v>
      </c>
      <c r="B106" s="65">
        <v>121365.86456635887</v>
      </c>
      <c r="C106" s="65">
        <v>2713</v>
      </c>
      <c r="D106" s="114">
        <v>0.83109999999999995</v>
      </c>
      <c r="E106" s="596">
        <v>0.93361506882395551</v>
      </c>
    </row>
    <row r="107" spans="1:5" x14ac:dyDescent="0.25">
      <c r="A107" s="72" t="s">
        <v>2263</v>
      </c>
      <c r="B107" s="65">
        <v>120028.80388505213</v>
      </c>
      <c r="C107" s="65">
        <v>2819</v>
      </c>
      <c r="D107" s="114">
        <v>0.86430000000000007</v>
      </c>
      <c r="E107" s="596">
        <v>0.93361506882395551</v>
      </c>
    </row>
    <row r="108" spans="1:5" x14ac:dyDescent="0.25">
      <c r="A108" s="72" t="s">
        <v>2264</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2265</v>
      </c>
      <c r="B110" s="65">
        <v>101130</v>
      </c>
      <c r="C110" s="65">
        <v>2811</v>
      </c>
      <c r="D110" s="114">
        <v>0.68100000000000005</v>
      </c>
      <c r="E110" s="596">
        <v>0.92494808662118067</v>
      </c>
    </row>
    <row r="111" spans="1:5" x14ac:dyDescent="0.25">
      <c r="A111" s="72" t="s">
        <v>2266</v>
      </c>
      <c r="B111" s="65">
        <v>104530</v>
      </c>
      <c r="C111" s="65">
        <v>2810</v>
      </c>
      <c r="D111" s="114">
        <v>0.70599999999999996</v>
      </c>
      <c r="E111" s="596">
        <v>0.92528460728977324</v>
      </c>
    </row>
    <row r="112" spans="1:5" x14ac:dyDescent="0.25">
      <c r="A112" s="72" t="s">
        <v>2267</v>
      </c>
      <c r="B112" s="65">
        <v>108570</v>
      </c>
      <c r="C112" s="65">
        <v>2913</v>
      </c>
      <c r="D112" s="114">
        <v>0.70599999999999996</v>
      </c>
      <c r="E112" s="596">
        <v>0.92548586165607438</v>
      </c>
    </row>
    <row r="113" spans="1:5" x14ac:dyDescent="0.25">
      <c r="A113" s="72" t="s">
        <v>2268</v>
      </c>
      <c r="B113" s="65">
        <v>103220</v>
      </c>
      <c r="C113" s="65">
        <v>2213</v>
      </c>
      <c r="D113" s="114">
        <v>0.82799999999999996</v>
      </c>
      <c r="E113" s="596">
        <v>0.92007362914163926</v>
      </c>
    </row>
    <row r="114" spans="1:5" x14ac:dyDescent="0.25">
      <c r="A114" s="72" t="s">
        <v>2269</v>
      </c>
      <c r="B114" s="65">
        <v>98560</v>
      </c>
      <c r="C114" s="65">
        <v>2118</v>
      </c>
      <c r="D114" s="114">
        <v>0.82799999999999996</v>
      </c>
      <c r="E114" s="596">
        <v>0.91375811688311692</v>
      </c>
    </row>
    <row r="115" spans="1:5" x14ac:dyDescent="0.25">
      <c r="A115" s="72" t="s">
        <v>2270</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2271</v>
      </c>
      <c r="B117" s="65">
        <v>90050</v>
      </c>
      <c r="C117" s="65">
        <v>2532</v>
      </c>
      <c r="D117" s="114"/>
      <c r="E117" s="596">
        <v>0.92932939503336609</v>
      </c>
    </row>
    <row r="118" spans="1:5" x14ac:dyDescent="0.25">
      <c r="A118" s="72" t="s">
        <v>2272</v>
      </c>
      <c r="B118" s="65">
        <v>112166.3</v>
      </c>
      <c r="C118" s="65">
        <v>2478.6999999999998</v>
      </c>
      <c r="D118" s="114">
        <v>0.83625099999999997</v>
      </c>
      <c r="E118" s="596">
        <v>0.93722267739953979</v>
      </c>
    </row>
    <row r="119" spans="1:5" x14ac:dyDescent="0.25">
      <c r="A119" s="72" t="s">
        <v>2273</v>
      </c>
      <c r="B119" s="65">
        <v>117211.35510798359</v>
      </c>
      <c r="C119" s="65">
        <v>2607.5839999999998</v>
      </c>
      <c r="D119" s="114">
        <v>0.84021816798046989</v>
      </c>
      <c r="E119" s="596">
        <v>0.94481263924838355</v>
      </c>
    </row>
    <row r="120" spans="1:5" x14ac:dyDescent="0.25">
      <c r="A120" s="72" t="s">
        <v>2274</v>
      </c>
      <c r="B120" s="65">
        <v>124276.8816365008</v>
      </c>
      <c r="C120" s="65">
        <v>2792.0839999999998</v>
      </c>
      <c r="D120" s="114">
        <v>0.84604875243517474</v>
      </c>
      <c r="E120" s="596">
        <v>0.94121580017102235</v>
      </c>
    </row>
    <row r="121" spans="1:5" x14ac:dyDescent="0.25">
      <c r="A121" s="72" t="s">
        <v>2275</v>
      </c>
      <c r="B121" s="65">
        <v>128217.81949485274</v>
      </c>
      <c r="C121" s="65">
        <v>2897.6329999999998</v>
      </c>
      <c r="D121" s="114">
        <v>0.84934397549466933</v>
      </c>
      <c r="E121" s="596">
        <v>0.94231119798774066</v>
      </c>
    </row>
    <row r="122" spans="1:5" x14ac:dyDescent="0.25">
      <c r="A122" s="72" t="s">
        <v>2276</v>
      </c>
      <c r="B122" s="65">
        <v>123392.78899954072</v>
      </c>
      <c r="C122" s="65">
        <v>2769.6939828148488</v>
      </c>
      <c r="D122" s="114">
        <v>0.84538047025734175</v>
      </c>
      <c r="E122" s="596">
        <v>0.94244570805205152</v>
      </c>
    </row>
    <row r="123" spans="1:5" x14ac:dyDescent="0.25">
      <c r="A123" s="72" t="s">
        <v>2277</v>
      </c>
      <c r="B123" s="65">
        <v>105700</v>
      </c>
      <c r="C123" s="65">
        <v>3028.3300274063863</v>
      </c>
      <c r="D123" s="114">
        <v>0.64864864864864868</v>
      </c>
      <c r="E123" s="596">
        <v>0.90155283865576308</v>
      </c>
    </row>
    <row r="124" spans="1:5" x14ac:dyDescent="0.25">
      <c r="A124" s="72" t="s">
        <v>2278</v>
      </c>
      <c r="B124" s="65">
        <v>124230</v>
      </c>
      <c r="C124" s="65">
        <v>2830</v>
      </c>
      <c r="D124" s="114">
        <v>0.84</v>
      </c>
      <c r="E124" s="596">
        <v>0.93361506882395562</v>
      </c>
    </row>
    <row r="125" spans="1:5" x14ac:dyDescent="0.25">
      <c r="A125" s="72" t="s">
        <v>2279</v>
      </c>
      <c r="B125" s="65">
        <v>133460.42696564356</v>
      </c>
      <c r="C125" s="65">
        <v>2949.8950840799994</v>
      </c>
      <c r="D125" s="114">
        <v>0.84848484848484851</v>
      </c>
      <c r="E125" s="596">
        <v>0.93016753769060367</v>
      </c>
    </row>
    <row r="126" spans="1:5" x14ac:dyDescent="0.25">
      <c r="A126" s="72" t="s">
        <v>2280</v>
      </c>
      <c r="B126" s="65">
        <v>134482.21159805206</v>
      </c>
      <c r="C126" s="65">
        <v>3179.7452399999997</v>
      </c>
      <c r="D126" s="114">
        <v>0.80597014925373134</v>
      </c>
      <c r="E126" s="596">
        <v>0.93377188092317998</v>
      </c>
    </row>
    <row r="127" spans="1:5" x14ac:dyDescent="0.25">
      <c r="A127" s="72" t="s">
        <v>2281</v>
      </c>
      <c r="B127" s="65">
        <v>130005.67943331707</v>
      </c>
      <c r="C127" s="65">
        <v>3175.9598289999994</v>
      </c>
      <c r="D127" s="114">
        <v>0.78269999999999995</v>
      </c>
      <c r="E127" s="596">
        <v>0.93832693190192873</v>
      </c>
    </row>
    <row r="128" spans="1:5" x14ac:dyDescent="0.25">
      <c r="A128" s="72" t="s">
        <v>2282</v>
      </c>
      <c r="B128" s="65"/>
      <c r="C128" s="65">
        <v>3637.8108073999997</v>
      </c>
      <c r="D128" s="114">
        <v>0.85340000000000005</v>
      </c>
      <c r="E128" s="52"/>
    </row>
    <row r="129" spans="1:5" x14ac:dyDescent="0.25">
      <c r="A129" s="72" t="s">
        <v>2283</v>
      </c>
      <c r="B129" s="65"/>
      <c r="C129" s="65">
        <v>3646.8826547999993</v>
      </c>
      <c r="D129" s="114">
        <v>0.84150000000000003</v>
      </c>
      <c r="E129" s="52"/>
    </row>
    <row r="130" spans="1:5" x14ac:dyDescent="0.25">
      <c r="A130" s="72" t="s">
        <v>2284</v>
      </c>
      <c r="B130" s="65"/>
      <c r="C130" s="65">
        <v>4533.9436333116819</v>
      </c>
      <c r="D130" s="114">
        <v>0.437</v>
      </c>
      <c r="E130" s="52"/>
    </row>
    <row r="131" spans="1:5" x14ac:dyDescent="0.25">
      <c r="A131" s="72" t="s">
        <v>2285</v>
      </c>
      <c r="B131" s="65"/>
      <c r="C131" s="65">
        <v>3689.2580177520322</v>
      </c>
      <c r="D131" s="114">
        <v>0.75700000000000001</v>
      </c>
      <c r="E131" s="52"/>
    </row>
    <row r="132" spans="1:5" x14ac:dyDescent="0.25">
      <c r="A132" s="72" t="s">
        <v>2286</v>
      </c>
      <c r="B132" s="65"/>
      <c r="C132" s="65">
        <v>3676.6399252923989</v>
      </c>
      <c r="D132" s="114">
        <v>0.751</v>
      </c>
      <c r="E132" s="52"/>
    </row>
    <row r="133" spans="1:5" x14ac:dyDescent="0.25">
      <c r="A133" s="72" t="s">
        <v>2287</v>
      </c>
      <c r="B133" s="65"/>
      <c r="C133" s="65">
        <v>3151</v>
      </c>
      <c r="D133" s="114">
        <v>0.86470000000000002</v>
      </c>
      <c r="E133" s="52"/>
    </row>
    <row r="134" spans="1:5" x14ac:dyDescent="0.25">
      <c r="A134" s="72" t="s">
        <v>2288</v>
      </c>
      <c r="B134" s="65">
        <v>116963.76491445</v>
      </c>
      <c r="C134" s="65">
        <v>2599.4406415121098</v>
      </c>
      <c r="D134" s="114">
        <v>0.83138369600000006</v>
      </c>
      <c r="E134" s="52"/>
    </row>
    <row r="135" spans="1:5" x14ac:dyDescent="0.25">
      <c r="A135" s="72" t="s">
        <v>2289</v>
      </c>
      <c r="B135" s="65">
        <v>126124.78706897001</v>
      </c>
      <c r="C135" s="65">
        <v>2805.4421680103501</v>
      </c>
      <c r="D135" s="114">
        <v>0.84607581700000001</v>
      </c>
      <c r="E135" s="52"/>
    </row>
    <row r="136" spans="1:5" x14ac:dyDescent="0.25">
      <c r="A136" s="72" t="s">
        <v>2290</v>
      </c>
      <c r="B136" s="65">
        <v>130269.091480068</v>
      </c>
      <c r="C136" s="65">
        <v>2909.12062219889</v>
      </c>
      <c r="D136" s="114">
        <v>0.848735774</v>
      </c>
      <c r="E136" s="52"/>
    </row>
    <row r="137" spans="1:5" x14ac:dyDescent="0.25">
      <c r="A137" s="72" t="s">
        <v>2291</v>
      </c>
      <c r="B137" s="65">
        <v>119858.923303142</v>
      </c>
      <c r="C137" s="65">
        <v>2667.7232819999999</v>
      </c>
      <c r="D137" s="114">
        <v>0.841590604326105</v>
      </c>
      <c r="E137" s="52"/>
    </row>
    <row r="138" spans="1:5" x14ac:dyDescent="0.25">
      <c r="A138" s="72" t="s">
        <v>2292</v>
      </c>
      <c r="B138" s="65">
        <v>40571</v>
      </c>
      <c r="C138" s="65">
        <v>2281.8458000000001</v>
      </c>
      <c r="D138" s="114">
        <v>0</v>
      </c>
      <c r="E138" s="596">
        <v>1</v>
      </c>
    </row>
    <row r="139" spans="1:5" x14ac:dyDescent="0.25">
      <c r="A139" s="72"/>
      <c r="E139" s="52"/>
    </row>
    <row r="140" spans="1:5" ht="15.75" thickBot="1" x14ac:dyDescent="0.3">
      <c r="A140" s="594" t="s">
        <v>2308</v>
      </c>
      <c r="B140" s="88" t="s">
        <v>2293</v>
      </c>
      <c r="C140" s="88" t="s">
        <v>2294</v>
      </c>
      <c r="D140" s="88" t="s">
        <v>2307</v>
      </c>
      <c r="E140" s="110" t="s">
        <v>2227</v>
      </c>
    </row>
    <row r="141" spans="1:5" ht="15.75" thickTop="1" x14ac:dyDescent="0.25">
      <c r="A141" s="72" t="s">
        <v>250</v>
      </c>
      <c r="B141" s="65">
        <v>1089</v>
      </c>
      <c r="C141" s="520">
        <v>22</v>
      </c>
      <c r="D141" s="114">
        <v>0.72399999999999998</v>
      </c>
      <c r="E141" s="596">
        <v>0.90266299357208446</v>
      </c>
    </row>
    <row r="142" spans="1:5" x14ac:dyDescent="0.25">
      <c r="A142" s="72" t="s">
        <v>2295</v>
      </c>
      <c r="B142" s="65">
        <v>1089</v>
      </c>
      <c r="C142" s="520">
        <v>22</v>
      </c>
      <c r="D142" s="114">
        <v>0.72399999999999998</v>
      </c>
      <c r="E142" s="596">
        <v>0.90266299357208446</v>
      </c>
    </row>
    <row r="143" spans="1:5" x14ac:dyDescent="0.25">
      <c r="A143" s="72" t="s">
        <v>2296</v>
      </c>
      <c r="B143" s="65">
        <v>1064.6260892329301</v>
      </c>
      <c r="C143" s="520">
        <v>20.294918982129801</v>
      </c>
      <c r="D143" s="114">
        <v>0.74676708210032305</v>
      </c>
      <c r="E143" s="596">
        <v>0.90083548512216971</v>
      </c>
    </row>
    <row r="144" spans="1:5" x14ac:dyDescent="0.25">
      <c r="A144" s="72" t="s">
        <v>2297</v>
      </c>
      <c r="B144" s="65">
        <v>1068.0254046214709</v>
      </c>
      <c r="C144" s="520">
        <v>20.303179298999996</v>
      </c>
      <c r="D144" s="114">
        <v>0.75</v>
      </c>
      <c r="E144" s="596">
        <v>0.9009009009009008</v>
      </c>
    </row>
    <row r="145" spans="1:5" x14ac:dyDescent="0.25">
      <c r="A145" s="72" t="s">
        <v>2298</v>
      </c>
      <c r="B145" s="65">
        <v>343</v>
      </c>
      <c r="C145" s="520">
        <v>2.5499999999999998</v>
      </c>
      <c r="D145" s="114">
        <v>0</v>
      </c>
      <c r="E145" s="596">
        <v>0.84548104956268222</v>
      </c>
    </row>
    <row r="146" spans="1:5" x14ac:dyDescent="0.25">
      <c r="A146" s="72" t="s">
        <v>2299</v>
      </c>
      <c r="B146" s="65"/>
      <c r="C146" s="520">
        <v>55.977829999999997</v>
      </c>
      <c r="D146" s="114">
        <v>0.27272727272727271</v>
      </c>
      <c r="E146" s="596"/>
    </row>
    <row r="147" spans="1:5" x14ac:dyDescent="0.25">
      <c r="A147" s="332" t="s">
        <v>2300</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4287</v>
      </c>
    </row>
    <row r="2" spans="1:3" ht="15.75" thickBot="1" x14ac:dyDescent="0.3">
      <c r="A2" s="88" t="s">
        <v>4288</v>
      </c>
      <c r="B2" s="88" t="s">
        <v>4289</v>
      </c>
      <c r="C2" s="88" t="s">
        <v>4298</v>
      </c>
    </row>
    <row r="3" spans="1:3" ht="15.75" thickTop="1" x14ac:dyDescent="0.25">
      <c r="A3" t="s">
        <v>4299</v>
      </c>
      <c r="B3" t="s">
        <v>4300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4050</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2980</v>
      </c>
    </row>
    <row r="18" spans="1:1" x14ac:dyDescent="0.25">
      <c r="A18" s="56" t="s">
        <v>156</v>
      </c>
    </row>
    <row r="19" spans="1:1" x14ac:dyDescent="0.25">
      <c r="A19" s="56" t="s">
        <v>157</v>
      </c>
    </row>
    <row r="20" spans="1:1" x14ac:dyDescent="0.25">
      <c r="A20" s="56" t="s">
        <v>2939</v>
      </c>
    </row>
    <row r="21" spans="1:1" x14ac:dyDescent="0.25">
      <c r="A21" s="56" t="s">
        <v>1644</v>
      </c>
    </row>
    <row r="22" spans="1:1" x14ac:dyDescent="0.25">
      <c r="A22" s="56" t="s">
        <v>4700</v>
      </c>
    </row>
    <row r="23" spans="1:1" x14ac:dyDescent="0.25">
      <c r="A23" s="56" t="s">
        <v>158</v>
      </c>
    </row>
    <row r="24" spans="1:1" x14ac:dyDescent="0.25">
      <c r="A24" s="56" t="s">
        <v>1420</v>
      </c>
    </row>
    <row r="25" spans="1:1" x14ac:dyDescent="0.25">
      <c r="A25" s="56" t="s">
        <v>4055</v>
      </c>
    </row>
    <row r="26" spans="1:1" x14ac:dyDescent="0.25">
      <c r="A26" s="56" t="s">
        <v>422</v>
      </c>
    </row>
    <row r="27" spans="1:1" x14ac:dyDescent="0.25">
      <c r="A27" s="56" t="s">
        <v>2877</v>
      </c>
    </row>
    <row r="28" spans="1:1" x14ac:dyDescent="0.25">
      <c r="A28" s="56" t="s">
        <v>1042</v>
      </c>
    </row>
    <row r="29" spans="1:1" x14ac:dyDescent="0.25">
      <c r="A29" s="56" t="s">
        <v>2979</v>
      </c>
    </row>
    <row r="30" spans="1:1" x14ac:dyDescent="0.25">
      <c r="A30" s="56" t="s">
        <v>423</v>
      </c>
    </row>
    <row r="31" spans="1:1" x14ac:dyDescent="0.25">
      <c r="A31" s="56" t="s">
        <v>1861</v>
      </c>
    </row>
    <row r="32" spans="1:1" x14ac:dyDescent="0.25">
      <c r="A32" s="56" t="s">
        <v>159</v>
      </c>
    </row>
    <row r="33" spans="1:1" x14ac:dyDescent="0.25">
      <c r="A33" s="56" t="s">
        <v>4089</v>
      </c>
    </row>
    <row r="34" spans="1:1" x14ac:dyDescent="0.25">
      <c r="A34" s="56" t="s">
        <v>180</v>
      </c>
    </row>
    <row r="35" spans="1:1" x14ac:dyDescent="0.25">
      <c r="A35" s="56" t="s">
        <v>4067</v>
      </c>
    </row>
    <row r="36" spans="1:1" x14ac:dyDescent="0.25">
      <c r="A36" s="56" t="s">
        <v>782</v>
      </c>
    </row>
    <row r="37" spans="1:1" x14ac:dyDescent="0.25">
      <c r="A37" s="56" t="s">
        <v>2937</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4634</v>
      </c>
    </row>
    <row r="47" spans="1:1" x14ac:dyDescent="0.25">
      <c r="A47" s="56" t="s">
        <v>1829</v>
      </c>
    </row>
    <row r="48" spans="1:1" x14ac:dyDescent="0.25">
      <c r="A48" s="56" t="s">
        <v>1634</v>
      </c>
    </row>
    <row r="49" spans="1:1" x14ac:dyDescent="0.25">
      <c r="A49" s="56" t="s">
        <v>4301</v>
      </c>
    </row>
    <row r="50" spans="1:1" x14ac:dyDescent="0.25">
      <c r="A50" s="56" t="s">
        <v>160</v>
      </c>
    </row>
    <row r="51" spans="1:1" x14ac:dyDescent="0.25">
      <c r="A51" s="56" t="s">
        <v>4642</v>
      </c>
    </row>
    <row r="52" spans="1:1" x14ac:dyDescent="0.25">
      <c r="A52" s="56" t="s">
        <v>2189</v>
      </c>
    </row>
    <row r="53" spans="1:1" x14ac:dyDescent="0.25">
      <c r="A53" s="56" t="s">
        <v>1832</v>
      </c>
    </row>
    <row r="54" spans="1:1" x14ac:dyDescent="0.25">
      <c r="A54" s="56" t="s">
        <v>4364</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2829</v>
      </c>
    </row>
    <row r="63" spans="1:1" x14ac:dyDescent="0.25">
      <c r="A63" s="56" t="s">
        <v>166</v>
      </c>
    </row>
    <row r="64" spans="1:1" x14ac:dyDescent="0.25">
      <c r="A64" s="56" t="s">
        <v>4029</v>
      </c>
    </row>
    <row r="65" spans="1:1" x14ac:dyDescent="0.25">
      <c r="A65" s="56" t="s">
        <v>4742</v>
      </c>
    </row>
    <row r="66" spans="1:1" x14ac:dyDescent="0.25">
      <c r="A66" s="56" t="s">
        <v>2667</v>
      </c>
    </row>
    <row r="67" spans="1:1" x14ac:dyDescent="0.25">
      <c r="A67" s="56" t="s">
        <v>4201</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2025-06-12T17:37:50Z</dcterms:modified>
</cp:coreProperties>
</file>